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1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2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3.xml" ContentType="application/vnd.openxmlformats-officedocument.drawingml.chart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drawings/drawing26.xml" ContentType="application/vnd.openxmlformats-officedocument.drawing+xml"/>
  <Override PartName="/xl/charts/chart16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jimu.ad.op.nii.ac.jp\図書館連携・協力室\JUSTICE\0019_基礎データ\文部科学省-学術情報基盤実態調査\"/>
    </mc:Choice>
  </mc:AlternateContent>
  <xr:revisionPtr revIDLastSave="0" documentId="13_ncr:1_{4C1F5E90-D2DC-4DEC-829A-BD093DEF8788}" xr6:coauthVersionLast="47" xr6:coauthVersionMax="47" xr10:uidLastSave="{00000000-0000-0000-0000-000000000000}"/>
  <bookViews>
    <workbookView xWindow="-110" yWindow="-110" windowWidth="21820" windowHeight="13900" tabRatio="817" xr2:uid="{00000000-000D-0000-FFFF-FFFF00000000}"/>
  </bookViews>
  <sheets>
    <sheet name="データシート" sheetId="1" r:id="rId1"/>
    <sheet name="国公私立平均" sheetId="29" r:id="rId2"/>
    <sheet name="国立平均" sheetId="25" r:id="rId3"/>
    <sheet name="国立A平均" sheetId="27" r:id="rId4"/>
    <sheet name="国立B平均" sheetId="30" r:id="rId5"/>
    <sheet name="国立C平均" sheetId="31" r:id="rId6"/>
    <sheet name="国立D平均" sheetId="32" r:id="rId7"/>
    <sheet name="公立平均" sheetId="33" r:id="rId8"/>
    <sheet name="公立A平均" sheetId="34" r:id="rId9"/>
    <sheet name="公立B平均 " sheetId="35" r:id="rId10"/>
    <sheet name="公立C平均" sheetId="36" r:id="rId11"/>
    <sheet name="公立D平均" sheetId="37" r:id="rId12"/>
    <sheet name="私立平均" sheetId="38" r:id="rId13"/>
    <sheet name="私立A平均 " sheetId="39" r:id="rId14"/>
    <sheet name="私立B平均" sheetId="40" r:id="rId15"/>
    <sheet name="私立C平均" sheetId="41" r:id="rId16"/>
    <sheet name="私立D平均" sheetId="42" r:id="rId17"/>
    <sheet name="大学総経費平均" sheetId="43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Y353" i="1" l="1"/>
  <c r="AY342" i="1" s="1"/>
  <c r="AY348" i="1"/>
  <c r="AY343" i="1"/>
  <c r="AY340" i="1"/>
  <c r="AY339" i="1"/>
  <c r="AY338" i="1"/>
  <c r="AY337" i="1"/>
  <c r="AY335" i="1"/>
  <c r="AY334" i="1"/>
  <c r="AY333" i="1"/>
  <c r="AY332" i="1"/>
  <c r="AY330" i="1"/>
  <c r="AY329" i="1"/>
  <c r="AY328" i="1"/>
  <c r="AY327" i="1"/>
  <c r="AY318" i="1"/>
  <c r="AY313" i="1"/>
  <c r="AY331" i="1" s="1"/>
  <c r="AY308" i="1"/>
  <c r="AY326" i="1" s="1"/>
  <c r="AY303" i="1"/>
  <c r="AY302" i="1"/>
  <c r="AY301" i="1"/>
  <c r="AY300" i="1"/>
  <c r="AY299" i="1"/>
  <c r="AY298" i="1"/>
  <c r="AY294" i="1"/>
  <c r="AY295" i="1" s="1"/>
  <c r="AY284" i="1"/>
  <c r="AY283" i="1"/>
  <c r="AY282" i="1"/>
  <c r="AY281" i="1"/>
  <c r="AY280" i="1"/>
  <c r="AY279" i="1"/>
  <c r="AY275" i="1"/>
  <c r="AY276" i="1" s="1"/>
  <c r="AY265" i="1"/>
  <c r="AY264" i="1"/>
  <c r="AY263" i="1"/>
  <c r="AY262" i="1"/>
  <c r="AY261" i="1"/>
  <c r="AY260" i="1"/>
  <c r="AY256" i="1"/>
  <c r="AY257" i="1" s="1"/>
  <c r="AY246" i="1"/>
  <c r="AY245" i="1"/>
  <c r="AY244" i="1"/>
  <c r="AY243" i="1"/>
  <c r="AY242" i="1"/>
  <c r="AY241" i="1"/>
  <c r="AY237" i="1"/>
  <c r="AY238" i="1" s="1"/>
  <c r="AY218" i="1"/>
  <c r="AY208" i="1"/>
  <c r="AY207" i="1"/>
  <c r="AY206" i="1"/>
  <c r="AY205" i="1"/>
  <c r="AY204" i="1"/>
  <c r="AY203" i="1"/>
  <c r="AY199" i="1"/>
  <c r="AY200" i="1" s="1"/>
  <c r="AY189" i="1"/>
  <c r="AY188" i="1"/>
  <c r="AY187" i="1"/>
  <c r="AY186" i="1"/>
  <c r="AY185" i="1"/>
  <c r="AY184" i="1"/>
  <c r="AY180" i="1"/>
  <c r="AY181" i="1" s="1"/>
  <c r="AY170" i="1"/>
  <c r="AY169" i="1"/>
  <c r="AY168" i="1"/>
  <c r="AY167" i="1"/>
  <c r="AY166" i="1"/>
  <c r="AY165" i="1"/>
  <c r="AY161" i="1"/>
  <c r="AY162" i="1" s="1"/>
  <c r="AY151" i="1"/>
  <c r="AY150" i="1"/>
  <c r="AY149" i="1"/>
  <c r="AY148" i="1"/>
  <c r="AY147" i="1"/>
  <c r="AY146" i="1"/>
  <c r="AY142" i="1"/>
  <c r="AY143" i="1" s="1"/>
  <c r="AY132" i="1"/>
  <c r="AY131" i="1"/>
  <c r="AY130" i="1"/>
  <c r="AY129" i="1"/>
  <c r="AY128" i="1"/>
  <c r="AY127" i="1"/>
  <c r="AY123" i="1"/>
  <c r="AY113" i="1"/>
  <c r="AY112" i="1"/>
  <c r="AY111" i="1"/>
  <c r="AY110" i="1"/>
  <c r="AY109" i="1"/>
  <c r="AY108" i="1"/>
  <c r="AY104" i="1"/>
  <c r="AY105" i="1" s="1"/>
  <c r="AY94" i="1"/>
  <c r="AY93" i="1"/>
  <c r="AY92" i="1"/>
  <c r="AY91" i="1"/>
  <c r="AY90" i="1"/>
  <c r="AY89" i="1"/>
  <c r="AY85" i="1"/>
  <c r="AY86" i="1" s="1"/>
  <c r="AY75" i="1"/>
  <c r="AY74" i="1"/>
  <c r="AY73" i="1"/>
  <c r="AY72" i="1"/>
  <c r="AY71" i="1"/>
  <c r="AY70" i="1"/>
  <c r="AY66" i="1"/>
  <c r="AY67" i="1" s="1"/>
  <c r="AY56" i="1"/>
  <c r="AY55" i="1"/>
  <c r="AY54" i="1"/>
  <c r="AY53" i="1"/>
  <c r="AY52" i="1"/>
  <c r="AY51" i="1"/>
  <c r="AY47" i="1"/>
  <c r="AY48" i="1" s="1"/>
  <c r="AY37" i="1"/>
  <c r="AY36" i="1"/>
  <c r="AY35" i="1"/>
  <c r="AY34" i="1"/>
  <c r="AY33" i="1"/>
  <c r="AY32" i="1"/>
  <c r="AY38" i="1" s="1"/>
  <c r="AY28" i="1"/>
  <c r="AY9" i="1"/>
  <c r="AX199" i="1"/>
  <c r="AY304" i="1" l="1"/>
  <c r="AY305" i="1" s="1"/>
  <c r="AY152" i="1"/>
  <c r="AY153" i="1" s="1"/>
  <c r="AY76" i="1"/>
  <c r="AY219" i="1"/>
  <c r="AY124" i="1"/>
  <c r="AY77" i="1"/>
  <c r="AY307" i="1"/>
  <c r="AY10" i="1" s="1"/>
  <c r="AY29" i="1"/>
  <c r="AY266" i="1"/>
  <c r="AY267" i="1" s="1"/>
  <c r="AY209" i="1"/>
  <c r="AY210" i="1" s="1"/>
  <c r="AY171" i="1"/>
  <c r="AY172" i="1" s="1"/>
  <c r="AY133" i="1"/>
  <c r="AY134" i="1" s="1"/>
  <c r="AY57" i="1"/>
  <c r="AY58" i="1" s="1"/>
  <c r="AY285" i="1"/>
  <c r="AY286" i="1" s="1"/>
  <c r="AY222" i="1"/>
  <c r="AY223" i="1"/>
  <c r="AY224" i="1"/>
  <c r="AY225" i="1"/>
  <c r="AY226" i="1"/>
  <c r="AY227" i="1"/>
  <c r="AY247" i="1"/>
  <c r="AY248" i="1" s="1"/>
  <c r="AY336" i="1"/>
  <c r="AY190" i="1"/>
  <c r="AY191" i="1" s="1"/>
  <c r="AY114" i="1"/>
  <c r="AY115" i="1" s="1"/>
  <c r="AY39" i="1"/>
  <c r="AY95" i="1"/>
  <c r="AY96" i="1" s="1"/>
  <c r="AX165" i="1"/>
  <c r="AX166" i="1"/>
  <c r="AX108" i="1"/>
  <c r="AY325" i="1" l="1"/>
  <c r="AY20" i="1" s="1"/>
  <c r="AY228" i="1"/>
  <c r="AY229" i="1" s="1"/>
  <c r="AX9" i="1"/>
  <c r="AX353" i="1"/>
  <c r="AX224" i="1" s="1"/>
  <c r="AX348" i="1"/>
  <c r="AX132" i="1" s="1"/>
  <c r="AX343" i="1"/>
  <c r="AX32" i="1" s="1"/>
  <c r="AX340" i="1"/>
  <c r="AX339" i="1"/>
  <c r="AX338" i="1"/>
  <c r="AX337" i="1"/>
  <c r="AX335" i="1"/>
  <c r="AX334" i="1"/>
  <c r="AX333" i="1"/>
  <c r="AX332" i="1"/>
  <c r="AX330" i="1"/>
  <c r="AX329" i="1"/>
  <c r="AX328" i="1"/>
  <c r="AX327" i="1"/>
  <c r="AX318" i="1"/>
  <c r="AX313" i="1"/>
  <c r="AX308" i="1"/>
  <c r="AX303" i="1"/>
  <c r="AX302" i="1"/>
  <c r="AX301" i="1"/>
  <c r="AX300" i="1"/>
  <c r="AX299" i="1"/>
  <c r="AX298" i="1"/>
  <c r="AX294" i="1"/>
  <c r="AX295" i="1" s="1"/>
  <c r="AX284" i="1"/>
  <c r="AX283" i="1"/>
  <c r="AX282" i="1"/>
  <c r="AX281" i="1"/>
  <c r="AX280" i="1"/>
  <c r="AX279" i="1"/>
  <c r="AX275" i="1"/>
  <c r="AX276" i="1" s="1"/>
  <c r="AX265" i="1"/>
  <c r="AX264" i="1"/>
  <c r="AX263" i="1"/>
  <c r="AX262" i="1"/>
  <c r="AX261" i="1"/>
  <c r="AX260" i="1"/>
  <c r="AX256" i="1"/>
  <c r="AX257" i="1" s="1"/>
  <c r="AX246" i="1"/>
  <c r="AX245" i="1"/>
  <c r="AX244" i="1"/>
  <c r="AX243" i="1"/>
  <c r="AX242" i="1"/>
  <c r="AX241" i="1"/>
  <c r="AX237" i="1"/>
  <c r="AX238" i="1" s="1"/>
  <c r="AX218" i="1"/>
  <c r="AX208" i="1"/>
  <c r="AX207" i="1"/>
  <c r="AX206" i="1"/>
  <c r="AX205" i="1"/>
  <c r="AX204" i="1"/>
  <c r="AX203" i="1"/>
  <c r="AX200" i="1"/>
  <c r="AX189" i="1"/>
  <c r="AX188" i="1"/>
  <c r="AX187" i="1"/>
  <c r="AX186" i="1"/>
  <c r="AX185" i="1"/>
  <c r="AX184" i="1"/>
  <c r="AX180" i="1"/>
  <c r="AX181" i="1" s="1"/>
  <c r="AX170" i="1"/>
  <c r="AX169" i="1"/>
  <c r="AX168" i="1"/>
  <c r="AX167" i="1"/>
  <c r="AX161" i="1"/>
  <c r="AX162" i="1" s="1"/>
  <c r="AX151" i="1"/>
  <c r="AX150" i="1"/>
  <c r="AX149" i="1"/>
  <c r="AX148" i="1"/>
  <c r="AX147" i="1"/>
  <c r="AX146" i="1"/>
  <c r="AX142" i="1"/>
  <c r="AX143" i="1" s="1"/>
  <c r="AX123" i="1"/>
  <c r="AX113" i="1"/>
  <c r="AX112" i="1"/>
  <c r="AX111" i="1"/>
  <c r="AX110" i="1"/>
  <c r="AX109" i="1"/>
  <c r="AX104" i="1"/>
  <c r="AX105" i="1" s="1"/>
  <c r="AX94" i="1"/>
  <c r="AX93" i="1"/>
  <c r="AX92" i="1"/>
  <c r="AX91" i="1"/>
  <c r="AX90" i="1"/>
  <c r="AX89" i="1"/>
  <c r="AX85" i="1"/>
  <c r="AX86" i="1" s="1"/>
  <c r="AX75" i="1"/>
  <c r="AX74" i="1"/>
  <c r="AX73" i="1"/>
  <c r="AX72" i="1"/>
  <c r="AX71" i="1"/>
  <c r="AX70" i="1"/>
  <c r="AX66" i="1"/>
  <c r="AX67" i="1" s="1"/>
  <c r="AX56" i="1"/>
  <c r="AX55" i="1"/>
  <c r="AX54" i="1"/>
  <c r="AX53" i="1"/>
  <c r="AX52" i="1"/>
  <c r="AX51" i="1"/>
  <c r="AX47" i="1"/>
  <c r="AX48" i="1" s="1"/>
  <c r="AX28" i="1"/>
  <c r="AX128" i="1" l="1"/>
  <c r="AX225" i="1"/>
  <c r="AX33" i="1"/>
  <c r="AX35" i="1"/>
  <c r="AX34" i="1"/>
  <c r="AX36" i="1"/>
  <c r="AX37" i="1"/>
  <c r="AX226" i="1"/>
  <c r="AX29" i="1"/>
  <c r="AX326" i="1"/>
  <c r="AX247" i="1"/>
  <c r="AX248" i="1" s="1"/>
  <c r="AX304" i="1"/>
  <c r="AX305" i="1" s="1"/>
  <c r="AX336" i="1"/>
  <c r="AX285" i="1"/>
  <c r="AX286" i="1" s="1"/>
  <c r="AX171" i="1"/>
  <c r="AX172" i="1" s="1"/>
  <c r="AX127" i="1"/>
  <c r="AX129" i="1"/>
  <c r="AX130" i="1"/>
  <c r="AX331" i="1"/>
  <c r="AX131" i="1"/>
  <c r="AX190" i="1"/>
  <c r="AX191" i="1" s="1"/>
  <c r="AX95" i="1"/>
  <c r="AX96" i="1" s="1"/>
  <c r="AX227" i="1"/>
  <c r="AX222" i="1"/>
  <c r="AX223" i="1"/>
  <c r="AX342" i="1"/>
  <c r="AX219" i="1"/>
  <c r="AX124" i="1"/>
  <c r="AX266" i="1"/>
  <c r="AX267" i="1" s="1"/>
  <c r="AX209" i="1"/>
  <c r="AX210" i="1" s="1"/>
  <c r="AX152" i="1"/>
  <c r="AX153" i="1" s="1"/>
  <c r="AX114" i="1"/>
  <c r="AX115" i="1" s="1"/>
  <c r="AX76" i="1"/>
  <c r="AX77" i="1" s="1"/>
  <c r="AX57" i="1"/>
  <c r="AX58" i="1" s="1"/>
  <c r="AX307" i="1"/>
  <c r="AX10" i="1" s="1"/>
  <c r="AW56" i="1"/>
  <c r="AW55" i="1"/>
  <c r="AW54" i="1"/>
  <c r="AW53" i="1"/>
  <c r="AW52" i="1"/>
  <c r="AW51" i="1"/>
  <c r="AW57" i="1" s="1"/>
  <c r="AW75" i="1"/>
  <c r="AW74" i="1"/>
  <c r="AW73" i="1"/>
  <c r="AW72" i="1"/>
  <c r="AW71" i="1"/>
  <c r="AW70" i="1"/>
  <c r="AW76" i="1" s="1"/>
  <c r="AW94" i="1"/>
  <c r="AW93" i="1"/>
  <c r="AW92" i="1"/>
  <c r="AW91" i="1"/>
  <c r="AW90" i="1"/>
  <c r="AW89" i="1"/>
  <c r="AW95" i="1" s="1"/>
  <c r="AW113" i="1"/>
  <c r="AW112" i="1"/>
  <c r="AW111" i="1"/>
  <c r="AW110" i="1"/>
  <c r="AW109" i="1"/>
  <c r="AW108" i="1"/>
  <c r="AW114" i="1" s="1"/>
  <c r="AW151" i="1"/>
  <c r="AW152" i="1" s="1"/>
  <c r="AW153" i="1" s="1"/>
  <c r="AW150" i="1"/>
  <c r="AW149" i="1"/>
  <c r="AW148" i="1"/>
  <c r="AW147" i="1"/>
  <c r="AW146" i="1"/>
  <c r="AW170" i="1"/>
  <c r="AW169" i="1"/>
  <c r="AW168" i="1"/>
  <c r="AW167" i="1"/>
  <c r="AW166" i="1"/>
  <c r="AW165" i="1"/>
  <c r="AW171" i="1" s="1"/>
  <c r="AW172" i="1" s="1"/>
  <c r="AW189" i="1"/>
  <c r="AW188" i="1"/>
  <c r="AW187" i="1"/>
  <c r="AW186" i="1"/>
  <c r="AW185" i="1"/>
  <c r="AW184" i="1"/>
  <c r="AW190" i="1" s="1"/>
  <c r="AW191" i="1" s="1"/>
  <c r="AW209" i="1"/>
  <c r="AW210" i="1" s="1"/>
  <c r="AW208" i="1"/>
  <c r="AW207" i="1"/>
  <c r="AW206" i="1"/>
  <c r="AW205" i="1"/>
  <c r="AW204" i="1"/>
  <c r="AW203" i="1"/>
  <c r="AW246" i="1"/>
  <c r="AW245" i="1"/>
  <c r="AW244" i="1"/>
  <c r="AW243" i="1"/>
  <c r="AW242" i="1"/>
  <c r="AW241" i="1"/>
  <c r="AW247" i="1" s="1"/>
  <c r="AW265" i="1"/>
  <c r="AW264" i="1"/>
  <c r="AW263" i="1"/>
  <c r="AW262" i="1"/>
  <c r="AW261" i="1"/>
  <c r="AW260" i="1"/>
  <c r="AW266" i="1" s="1"/>
  <c r="AW284" i="1"/>
  <c r="AW283" i="1"/>
  <c r="AW282" i="1"/>
  <c r="AW281" i="1"/>
  <c r="AW280" i="1"/>
  <c r="AW279" i="1"/>
  <c r="AW303" i="1"/>
  <c r="AW302" i="1"/>
  <c r="AW301" i="1"/>
  <c r="AW300" i="1"/>
  <c r="AW299" i="1"/>
  <c r="AW298" i="1"/>
  <c r="AW304" i="1" s="1"/>
  <c r="AW340" i="1"/>
  <c r="AW339" i="1"/>
  <c r="AW338" i="1"/>
  <c r="AW337" i="1"/>
  <c r="AW335" i="1"/>
  <c r="AW334" i="1"/>
  <c r="AW333" i="1"/>
  <c r="AW332" i="1"/>
  <c r="AW330" i="1"/>
  <c r="AW329" i="1"/>
  <c r="AW328" i="1"/>
  <c r="AW327" i="1"/>
  <c r="AW9" i="1"/>
  <c r="AW28" i="1"/>
  <c r="AW47" i="1"/>
  <c r="AW66" i="1"/>
  <c r="AW85" i="1"/>
  <c r="AV353" i="1"/>
  <c r="AV227" i="1" s="1"/>
  <c r="AV348" i="1"/>
  <c r="AV131" i="1" s="1"/>
  <c r="AV343" i="1"/>
  <c r="AV35" i="1" s="1"/>
  <c r="AV340" i="1"/>
  <c r="AV339" i="1"/>
  <c r="AV338" i="1"/>
  <c r="AV337" i="1"/>
  <c r="AV335" i="1"/>
  <c r="AV334" i="1"/>
  <c r="AV333" i="1"/>
  <c r="AV332" i="1"/>
  <c r="AV330" i="1"/>
  <c r="AV329" i="1"/>
  <c r="AV328" i="1"/>
  <c r="AV327" i="1"/>
  <c r="AV318" i="1"/>
  <c r="AV313" i="1"/>
  <c r="AV308" i="1"/>
  <c r="AV303" i="1"/>
  <c r="AV302" i="1"/>
  <c r="AV301" i="1"/>
  <c r="AV300" i="1"/>
  <c r="AV299" i="1"/>
  <c r="AV298" i="1"/>
  <c r="AV304" i="1" s="1"/>
  <c r="AV305" i="1" s="1"/>
  <c r="AV294" i="1"/>
  <c r="AV295" i="1" s="1"/>
  <c r="AV284" i="1"/>
  <c r="AV283" i="1"/>
  <c r="AV282" i="1"/>
  <c r="AV281" i="1"/>
  <c r="AV280" i="1"/>
  <c r="AV279" i="1"/>
  <c r="AV275" i="1"/>
  <c r="AV276" i="1" s="1"/>
  <c r="AV265" i="1"/>
  <c r="AV264" i="1"/>
  <c r="AV263" i="1"/>
  <c r="AV262" i="1"/>
  <c r="AV261" i="1"/>
  <c r="AV260" i="1"/>
  <c r="AV256" i="1"/>
  <c r="AV257" i="1" s="1"/>
  <c r="AV246" i="1"/>
  <c r="AV245" i="1"/>
  <c r="AV244" i="1"/>
  <c r="AV243" i="1"/>
  <c r="AV242" i="1"/>
  <c r="AV241" i="1"/>
  <c r="AV247" i="1" s="1"/>
  <c r="AV248" i="1" s="1"/>
  <c r="AV237" i="1"/>
  <c r="AV238" i="1" s="1"/>
  <c r="AV218" i="1"/>
  <c r="AV219" i="1" s="1"/>
  <c r="AV208" i="1"/>
  <c r="AV207" i="1"/>
  <c r="AV206" i="1"/>
  <c r="AV205" i="1"/>
  <c r="AV204" i="1"/>
  <c r="AV203" i="1"/>
  <c r="AV199" i="1"/>
  <c r="AV200" i="1" s="1"/>
  <c r="AV189" i="1"/>
  <c r="AV188" i="1"/>
  <c r="AV187" i="1"/>
  <c r="AV186" i="1"/>
  <c r="AV185" i="1"/>
  <c r="AV184" i="1"/>
  <c r="AV180" i="1"/>
  <c r="AV181" i="1" s="1"/>
  <c r="AV170" i="1"/>
  <c r="AV169" i="1"/>
  <c r="AV168" i="1"/>
  <c r="AV167" i="1"/>
  <c r="AV166" i="1"/>
  <c r="AV165" i="1"/>
  <c r="AV171" i="1" s="1"/>
  <c r="AV161" i="1"/>
  <c r="AV162" i="1" s="1"/>
  <c r="AV151" i="1"/>
  <c r="AV150" i="1"/>
  <c r="AV149" i="1"/>
  <c r="AV148" i="1"/>
  <c r="AV147" i="1"/>
  <c r="AV146" i="1"/>
  <c r="AV142" i="1"/>
  <c r="AV143" i="1" s="1"/>
  <c r="AV128" i="1"/>
  <c r="AV127" i="1"/>
  <c r="AV123" i="1"/>
  <c r="AV113" i="1"/>
  <c r="AV112" i="1"/>
  <c r="AV111" i="1"/>
  <c r="AV110" i="1"/>
  <c r="AV109" i="1"/>
  <c r="AV108" i="1"/>
  <c r="AV104" i="1"/>
  <c r="AV105" i="1" s="1"/>
  <c r="AV94" i="1"/>
  <c r="AV93" i="1"/>
  <c r="AV92" i="1"/>
  <c r="AV91" i="1"/>
  <c r="AV90" i="1"/>
  <c r="AV89" i="1"/>
  <c r="AV85" i="1"/>
  <c r="AV86" i="1" s="1"/>
  <c r="AV75" i="1"/>
  <c r="AV74" i="1"/>
  <c r="AV73" i="1"/>
  <c r="AV72" i="1"/>
  <c r="AV71" i="1"/>
  <c r="AV70" i="1"/>
  <c r="AV66" i="1"/>
  <c r="AV67" i="1" s="1"/>
  <c r="AV56" i="1"/>
  <c r="AV55" i="1"/>
  <c r="AV54" i="1"/>
  <c r="AV53" i="1"/>
  <c r="AV52" i="1"/>
  <c r="AV51" i="1"/>
  <c r="AV47" i="1"/>
  <c r="AV48" i="1" s="1"/>
  <c r="AV28" i="1"/>
  <c r="AV29" i="1" s="1"/>
  <c r="AV9" i="1"/>
  <c r="AV32" i="1" l="1"/>
  <c r="AV129" i="1"/>
  <c r="AV130" i="1"/>
  <c r="AV34" i="1"/>
  <c r="AV132" i="1"/>
  <c r="AW285" i="1"/>
  <c r="AW286" i="1" s="1"/>
  <c r="AV172" i="1"/>
  <c r="AV33" i="1"/>
  <c r="AV38" i="1" s="1"/>
  <c r="AV39" i="1" s="1"/>
  <c r="AV326" i="1"/>
  <c r="AV36" i="1"/>
  <c r="AV331" i="1"/>
  <c r="AV37" i="1"/>
  <c r="AW305" i="1"/>
  <c r="AV95" i="1"/>
  <c r="AV96" i="1" s="1"/>
  <c r="AX38" i="1"/>
  <c r="AX39" i="1" s="1"/>
  <c r="AV114" i="1"/>
  <c r="AV115" i="1" s="1"/>
  <c r="AV336" i="1"/>
  <c r="AV222" i="1"/>
  <c r="AV124" i="1"/>
  <c r="AV152" i="1"/>
  <c r="AV153" i="1" s="1"/>
  <c r="AV223" i="1"/>
  <c r="AV57" i="1"/>
  <c r="AV58" i="1" s="1"/>
  <c r="AV76" i="1"/>
  <c r="AV77" i="1" s="1"/>
  <c r="AV133" i="1"/>
  <c r="AV190" i="1"/>
  <c r="AV191" i="1" s="1"/>
  <c r="AV224" i="1"/>
  <c r="AV285" i="1"/>
  <c r="AV286" i="1" s="1"/>
  <c r="AV209" i="1"/>
  <c r="AV210" i="1" s="1"/>
  <c r="AV225" i="1"/>
  <c r="AV226" i="1"/>
  <c r="AV342" i="1"/>
  <c r="AV266" i="1"/>
  <c r="AV267" i="1" s="1"/>
  <c r="AX133" i="1"/>
  <c r="AX134" i="1" s="1"/>
  <c r="AX228" i="1"/>
  <c r="AX229" i="1" s="1"/>
  <c r="AX325" i="1"/>
  <c r="AX20" i="1" s="1"/>
  <c r="AV307" i="1"/>
  <c r="AW308" i="1"/>
  <c r="AW313" i="1"/>
  <c r="AU9" i="1"/>
  <c r="AV134" i="1" l="1"/>
  <c r="AV228" i="1"/>
  <c r="AV229" i="1" s="1"/>
  <c r="AV325" i="1"/>
  <c r="AV20" i="1" s="1"/>
  <c r="AV10" i="1"/>
  <c r="AU353" i="1"/>
  <c r="AU227" i="1" s="1"/>
  <c r="AU348" i="1"/>
  <c r="AU132" i="1" s="1"/>
  <c r="AU343" i="1"/>
  <c r="AU34" i="1" s="1"/>
  <c r="AU340" i="1"/>
  <c r="AU339" i="1"/>
  <c r="AU338" i="1"/>
  <c r="AU337" i="1"/>
  <c r="AU335" i="1"/>
  <c r="AU334" i="1"/>
  <c r="AU333" i="1"/>
  <c r="AU332" i="1"/>
  <c r="AU330" i="1"/>
  <c r="AU329" i="1"/>
  <c r="AU328" i="1"/>
  <c r="AU327" i="1"/>
  <c r="AU318" i="1"/>
  <c r="AU313" i="1"/>
  <c r="AU308" i="1"/>
  <c r="AU303" i="1"/>
  <c r="AU302" i="1"/>
  <c r="AU301" i="1"/>
  <c r="AU300" i="1"/>
  <c r="AU299" i="1"/>
  <c r="AU298" i="1"/>
  <c r="AU294" i="1"/>
  <c r="AU295" i="1" s="1"/>
  <c r="AU284" i="1"/>
  <c r="AU283" i="1"/>
  <c r="AU282" i="1"/>
  <c r="AU281" i="1"/>
  <c r="AU280" i="1"/>
  <c r="AU279" i="1"/>
  <c r="AU275" i="1"/>
  <c r="AU276" i="1" s="1"/>
  <c r="AU265" i="1"/>
  <c r="AU264" i="1"/>
  <c r="AU263" i="1"/>
  <c r="AU262" i="1"/>
  <c r="AU261" i="1"/>
  <c r="AU260" i="1"/>
  <c r="AU256" i="1"/>
  <c r="AU257" i="1" s="1"/>
  <c r="AU246" i="1"/>
  <c r="AU245" i="1"/>
  <c r="AU244" i="1"/>
  <c r="AU243" i="1"/>
  <c r="AU242" i="1"/>
  <c r="AU241" i="1"/>
  <c r="AU237" i="1"/>
  <c r="AU238" i="1" s="1"/>
  <c r="AU225" i="1"/>
  <c r="AU222" i="1"/>
  <c r="AU218" i="1"/>
  <c r="AU208" i="1"/>
  <c r="AU207" i="1"/>
  <c r="AU206" i="1"/>
  <c r="AU205" i="1"/>
  <c r="AU204" i="1"/>
  <c r="AU203" i="1"/>
  <c r="AU199" i="1"/>
  <c r="AU200" i="1" s="1"/>
  <c r="AU189" i="1"/>
  <c r="AU188" i="1"/>
  <c r="AU187" i="1"/>
  <c r="AU186" i="1"/>
  <c r="AU185" i="1"/>
  <c r="AU184" i="1"/>
  <c r="AU180" i="1"/>
  <c r="AU181" i="1" s="1"/>
  <c r="AU170" i="1"/>
  <c r="AU169" i="1"/>
  <c r="AU168" i="1"/>
  <c r="AU167" i="1"/>
  <c r="AU166" i="1"/>
  <c r="AU165" i="1"/>
  <c r="AU161" i="1"/>
  <c r="AU162" i="1" s="1"/>
  <c r="AU151" i="1"/>
  <c r="AU150" i="1"/>
  <c r="AU149" i="1"/>
  <c r="AU148" i="1"/>
  <c r="AU147" i="1"/>
  <c r="AU146" i="1"/>
  <c r="AU142" i="1"/>
  <c r="AU143" i="1" s="1"/>
  <c r="AU123" i="1"/>
  <c r="AU113" i="1"/>
  <c r="AU112" i="1"/>
  <c r="AU111" i="1"/>
  <c r="AU110" i="1"/>
  <c r="AU109" i="1"/>
  <c r="AU108" i="1"/>
  <c r="AU104" i="1"/>
  <c r="AU105" i="1" s="1"/>
  <c r="AU94" i="1"/>
  <c r="AU93" i="1"/>
  <c r="AU92" i="1"/>
  <c r="AU91" i="1"/>
  <c r="AU90" i="1"/>
  <c r="AU89" i="1"/>
  <c r="AU85" i="1"/>
  <c r="AU86" i="1" s="1"/>
  <c r="AU75" i="1"/>
  <c r="AU74" i="1"/>
  <c r="AU73" i="1"/>
  <c r="AU72" i="1"/>
  <c r="AU71" i="1"/>
  <c r="AU70" i="1"/>
  <c r="AU66" i="1"/>
  <c r="AU67" i="1" s="1"/>
  <c r="AU56" i="1"/>
  <c r="AU55" i="1"/>
  <c r="AU54" i="1"/>
  <c r="AU53" i="1"/>
  <c r="AU52" i="1"/>
  <c r="AU51" i="1"/>
  <c r="AU47" i="1"/>
  <c r="AU48" i="1" s="1"/>
  <c r="AU36" i="1"/>
  <c r="AU35" i="1"/>
  <c r="AU28" i="1"/>
  <c r="AU29" i="1" s="1"/>
  <c r="AU127" i="1" l="1"/>
  <c r="AU128" i="1"/>
  <c r="AU130" i="1"/>
  <c r="AU223" i="1"/>
  <c r="AU37" i="1"/>
  <c r="AU95" i="1"/>
  <c r="AU96" i="1" s="1"/>
  <c r="AU224" i="1"/>
  <c r="AU326" i="1"/>
  <c r="AU152" i="1"/>
  <c r="AU153" i="1" s="1"/>
  <c r="AU32" i="1"/>
  <c r="AU76" i="1"/>
  <c r="AU77" i="1" s="1"/>
  <c r="AU171" i="1"/>
  <c r="AU172" i="1" s="1"/>
  <c r="AU226" i="1"/>
  <c r="AU228" i="1" s="1"/>
  <c r="AU229" i="1" s="1"/>
  <c r="AU336" i="1"/>
  <c r="AU33" i="1"/>
  <c r="AU342" i="1"/>
  <c r="AU129" i="1"/>
  <c r="AU209" i="1"/>
  <c r="AU210" i="1" s="1"/>
  <c r="AU266" i="1"/>
  <c r="AU267" i="1" s="1"/>
  <c r="AU57" i="1"/>
  <c r="AU58" i="1" s="1"/>
  <c r="AU331" i="1"/>
  <c r="AU131" i="1"/>
  <c r="AU304" i="1"/>
  <c r="AU305" i="1" s="1"/>
  <c r="AU114" i="1"/>
  <c r="AU115" i="1" s="1"/>
  <c r="AU190" i="1"/>
  <c r="AU191" i="1" s="1"/>
  <c r="AU247" i="1"/>
  <c r="AU248" i="1" s="1"/>
  <c r="AU285" i="1"/>
  <c r="AU286" i="1" s="1"/>
  <c r="AU124" i="1"/>
  <c r="AU307" i="1"/>
  <c r="AU10" i="1" s="1"/>
  <c r="AU219" i="1"/>
  <c r="AW353" i="1"/>
  <c r="AW348" i="1"/>
  <c r="AW343" i="1"/>
  <c r="AW318" i="1"/>
  <c r="AW294" i="1"/>
  <c r="AW295" i="1" s="1"/>
  <c r="AW275" i="1"/>
  <c r="AW276" i="1" s="1"/>
  <c r="AW256" i="1"/>
  <c r="AW257" i="1" s="1"/>
  <c r="AW237" i="1"/>
  <c r="AW238" i="1" s="1"/>
  <c r="AW218" i="1"/>
  <c r="AW199" i="1"/>
  <c r="AW200" i="1" s="1"/>
  <c r="AW180" i="1"/>
  <c r="AW181" i="1" s="1"/>
  <c r="AW161" i="1"/>
  <c r="AW162" i="1" s="1"/>
  <c r="AW142" i="1"/>
  <c r="AW143" i="1" s="1"/>
  <c r="AW123" i="1"/>
  <c r="AW104" i="1"/>
  <c r="AW105" i="1" s="1"/>
  <c r="AW86" i="1"/>
  <c r="AW67" i="1"/>
  <c r="AW48" i="1"/>
  <c r="AT353" i="1"/>
  <c r="AT223" i="1" s="1"/>
  <c r="AT348" i="1"/>
  <c r="AT130" i="1" s="1"/>
  <c r="AT343" i="1"/>
  <c r="AT34" i="1" s="1"/>
  <c r="AT340" i="1"/>
  <c r="AT339" i="1"/>
  <c r="AT338" i="1"/>
  <c r="AT337" i="1"/>
  <c r="AT335" i="1"/>
  <c r="AT334" i="1"/>
  <c r="AT333" i="1"/>
  <c r="AT332" i="1"/>
  <c r="AT330" i="1"/>
  <c r="AT329" i="1"/>
  <c r="AT328" i="1"/>
  <c r="AT327" i="1"/>
  <c r="AT324" i="1"/>
  <c r="AT318" i="1"/>
  <c r="AT313" i="1"/>
  <c r="AT308" i="1"/>
  <c r="AT303" i="1"/>
  <c r="AT302" i="1"/>
  <c r="AT301" i="1"/>
  <c r="AT300" i="1"/>
  <c r="AT299" i="1"/>
  <c r="AT298" i="1"/>
  <c r="AT297" i="1"/>
  <c r="AT294" i="1"/>
  <c r="AT295" i="1" s="1"/>
  <c r="AT284" i="1"/>
  <c r="AT283" i="1"/>
  <c r="AT282" i="1"/>
  <c r="AT281" i="1"/>
  <c r="AT280" i="1"/>
  <c r="AT279" i="1"/>
  <c r="AT278" i="1"/>
  <c r="AT275" i="1"/>
  <c r="AT276" i="1" s="1"/>
  <c r="AT265" i="1"/>
  <c r="AT264" i="1"/>
  <c r="AT263" i="1"/>
  <c r="AT262" i="1"/>
  <c r="AT261" i="1"/>
  <c r="AT260" i="1"/>
  <c r="AT259" i="1"/>
  <c r="AT256" i="1"/>
  <c r="AT257" i="1" s="1"/>
  <c r="AT246" i="1"/>
  <c r="AT245" i="1"/>
  <c r="AT244" i="1"/>
  <c r="AT243" i="1"/>
  <c r="AT242" i="1"/>
  <c r="AT241" i="1"/>
  <c r="AT240" i="1"/>
  <c r="AT237" i="1"/>
  <c r="AT238" i="1" s="1"/>
  <c r="AT221" i="1"/>
  <c r="AT218" i="1"/>
  <c r="AT208" i="1"/>
  <c r="AT207" i="1"/>
  <c r="AT206" i="1"/>
  <c r="AT205" i="1"/>
  <c r="AT204" i="1"/>
  <c r="AT203" i="1"/>
  <c r="AT202" i="1"/>
  <c r="AT199" i="1"/>
  <c r="AT200" i="1" s="1"/>
  <c r="AT189" i="1"/>
  <c r="AT188" i="1"/>
  <c r="AT187" i="1"/>
  <c r="AT186" i="1"/>
  <c r="AT185" i="1"/>
  <c r="AT184" i="1"/>
  <c r="AT183" i="1"/>
  <c r="AT180" i="1"/>
  <c r="AT181" i="1" s="1"/>
  <c r="AT170" i="1"/>
  <c r="AT169" i="1"/>
  <c r="AT168" i="1"/>
  <c r="AT167" i="1"/>
  <c r="AT166" i="1"/>
  <c r="AT165" i="1"/>
  <c r="AT164" i="1"/>
  <c r="AT161" i="1"/>
  <c r="AT162" i="1" s="1"/>
  <c r="AT151" i="1"/>
  <c r="AT150" i="1"/>
  <c r="AT149" i="1"/>
  <c r="AT148" i="1"/>
  <c r="AT147" i="1"/>
  <c r="AT146" i="1"/>
  <c r="AT145" i="1"/>
  <c r="AT142" i="1"/>
  <c r="AT143" i="1" s="1"/>
  <c r="AT126" i="1"/>
  <c r="AT123" i="1"/>
  <c r="AT124" i="1" s="1"/>
  <c r="AT113" i="1"/>
  <c r="AT112" i="1"/>
  <c r="AT111" i="1"/>
  <c r="AT110" i="1"/>
  <c r="AT109" i="1"/>
  <c r="AT108" i="1"/>
  <c r="AT107" i="1"/>
  <c r="AT104" i="1"/>
  <c r="AT105" i="1" s="1"/>
  <c r="AT94" i="1"/>
  <c r="AT93" i="1"/>
  <c r="AT92" i="1"/>
  <c r="AT91" i="1"/>
  <c r="AT90" i="1"/>
  <c r="AT89" i="1"/>
  <c r="AT88" i="1"/>
  <c r="AT85" i="1"/>
  <c r="AT86" i="1" s="1"/>
  <c r="AT75" i="1"/>
  <c r="AT74" i="1"/>
  <c r="AT73" i="1"/>
  <c r="AT72" i="1"/>
  <c r="AT71" i="1"/>
  <c r="AT70" i="1"/>
  <c r="AT69" i="1"/>
  <c r="AT66" i="1"/>
  <c r="AT67" i="1" s="1"/>
  <c r="AT56" i="1"/>
  <c r="AT55" i="1"/>
  <c r="AT54" i="1"/>
  <c r="AT53" i="1"/>
  <c r="AT52" i="1"/>
  <c r="AT51" i="1"/>
  <c r="AT50" i="1"/>
  <c r="AT47" i="1"/>
  <c r="AT48" i="1" s="1"/>
  <c r="AT31" i="1"/>
  <c r="AT28" i="1"/>
  <c r="AT29" i="1" s="1"/>
  <c r="AT12" i="1"/>
  <c r="AT9" i="1"/>
  <c r="AT304" i="1" l="1"/>
  <c r="AT305" i="1" s="1"/>
  <c r="AT336" i="1"/>
  <c r="AU38" i="1"/>
  <c r="AU39" i="1" s="1"/>
  <c r="AT225" i="1"/>
  <c r="AW226" i="1"/>
  <c r="AW227" i="1"/>
  <c r="AW225" i="1"/>
  <c r="AW224" i="1"/>
  <c r="AW223" i="1"/>
  <c r="AW222" i="1"/>
  <c r="AT224" i="1"/>
  <c r="AT226" i="1"/>
  <c r="AW132" i="1"/>
  <c r="AW131" i="1"/>
  <c r="AW130" i="1"/>
  <c r="AW129" i="1"/>
  <c r="AW128" i="1"/>
  <c r="AW127" i="1"/>
  <c r="AW331" i="1"/>
  <c r="AU133" i="1"/>
  <c r="AU134" i="1" s="1"/>
  <c r="AT152" i="1"/>
  <c r="AT153" i="1" s="1"/>
  <c r="AT209" i="1"/>
  <c r="AT210" i="1" s="1"/>
  <c r="AW32" i="1"/>
  <c r="AW35" i="1"/>
  <c r="AW34" i="1"/>
  <c r="AW33" i="1"/>
  <c r="AW36" i="1"/>
  <c r="AW37" i="1"/>
  <c r="AW326" i="1"/>
  <c r="AT219" i="1"/>
  <c r="AW336" i="1"/>
  <c r="AT32" i="1"/>
  <c r="AT57" i="1"/>
  <c r="AT58" i="1" s="1"/>
  <c r="AW219" i="1"/>
  <c r="AT128" i="1"/>
  <c r="AT129" i="1"/>
  <c r="AT132" i="1"/>
  <c r="AW124" i="1"/>
  <c r="AW29" i="1"/>
  <c r="AU325" i="1"/>
  <c r="AU20" i="1" s="1"/>
  <c r="AT114" i="1"/>
  <c r="AT115" i="1" s="1"/>
  <c r="AT247" i="1"/>
  <c r="AT248" i="1" s="1"/>
  <c r="AT266" i="1"/>
  <c r="AT267" i="1" s="1"/>
  <c r="AW248" i="1"/>
  <c r="AW267" i="1"/>
  <c r="AT285" i="1"/>
  <c r="AT286" i="1" s="1"/>
  <c r="AT307" i="1"/>
  <c r="AT10" i="1" s="1"/>
  <c r="AT171" i="1"/>
  <c r="AT172" i="1" s="1"/>
  <c r="AT190" i="1"/>
  <c r="AT191" i="1" s="1"/>
  <c r="AW77" i="1"/>
  <c r="AW96" i="1"/>
  <c r="AW115" i="1"/>
  <c r="AW342" i="1"/>
  <c r="AT95" i="1"/>
  <c r="AT96" i="1" s="1"/>
  <c r="AW58" i="1"/>
  <c r="AT76" i="1"/>
  <c r="AT77" i="1" s="1"/>
  <c r="AW307" i="1"/>
  <c r="AT35" i="1"/>
  <c r="AT131" i="1"/>
  <c r="AT227" i="1"/>
  <c r="AT326" i="1"/>
  <c r="AT33" i="1"/>
  <c r="AT36" i="1"/>
  <c r="AT37" i="1"/>
  <c r="AT331" i="1"/>
  <c r="AT222" i="1"/>
  <c r="AT127" i="1"/>
  <c r="AT342" i="1"/>
  <c r="AT325" i="1" s="1"/>
  <c r="AT20" i="1" s="1"/>
  <c r="AW325" i="1" l="1"/>
  <c r="AW10" i="1"/>
  <c r="AW133" i="1"/>
  <c r="AW134" i="1" s="1"/>
  <c r="AW228" i="1"/>
  <c r="AW229" i="1" s="1"/>
  <c r="AW38" i="1"/>
  <c r="AT133" i="1"/>
  <c r="AT134" i="1" s="1"/>
  <c r="AW39" i="1"/>
  <c r="AT228" i="1"/>
  <c r="AT229" i="1" s="1"/>
  <c r="AW20" i="1"/>
  <c r="AT38" i="1"/>
  <c r="AT39" i="1" s="1"/>
  <c r="AS324" i="1" l="1"/>
  <c r="AS297" i="1"/>
  <c r="AS278" i="1"/>
  <c r="AS259" i="1"/>
  <c r="AS240" i="1"/>
  <c r="AS221" i="1"/>
  <c r="AS202" i="1"/>
  <c r="AS183" i="1"/>
  <c r="AS164" i="1"/>
  <c r="AS145" i="1"/>
  <c r="AS126" i="1"/>
  <c r="AS107" i="1"/>
  <c r="AS88" i="1"/>
  <c r="AS69" i="1"/>
  <c r="AS50" i="1"/>
  <c r="AS31" i="1"/>
  <c r="AS12" i="1"/>
  <c r="AS330" i="1"/>
  <c r="AS115" i="1" s="1"/>
  <c r="AS329" i="1"/>
  <c r="AS96" i="1" s="1"/>
  <c r="AS328" i="1"/>
  <c r="AS77" i="1" s="1"/>
  <c r="AS327" i="1"/>
  <c r="AS335" i="1"/>
  <c r="AS210" i="1" s="1"/>
  <c r="AS334" i="1"/>
  <c r="AS191" i="1" s="1"/>
  <c r="AS333" i="1"/>
  <c r="AS172" i="1" s="1"/>
  <c r="AS332" i="1"/>
  <c r="AS153" i="1" s="1"/>
  <c r="AS340" i="1"/>
  <c r="AS305" i="1" s="1"/>
  <c r="AS339" i="1"/>
  <c r="AS286" i="1" s="1"/>
  <c r="AS338" i="1"/>
  <c r="AS267" i="1" s="1"/>
  <c r="AS337" i="1"/>
  <c r="AS248" i="1" s="1"/>
  <c r="AS295" i="1"/>
  <c r="AS276" i="1"/>
  <c r="AS257" i="1"/>
  <c r="AS238" i="1"/>
  <c r="AS229" i="1"/>
  <c r="AS219" i="1"/>
  <c r="AS200" i="1"/>
  <c r="AS181" i="1"/>
  <c r="AS162" i="1"/>
  <c r="AS143" i="1"/>
  <c r="AS134" i="1"/>
  <c r="AS124" i="1"/>
  <c r="AS105" i="1"/>
  <c r="AS86" i="1"/>
  <c r="AS67" i="1"/>
  <c r="AS58" i="1"/>
  <c r="AS48" i="1"/>
  <c r="AS39" i="1"/>
  <c r="AS29" i="1"/>
  <c r="AS20" i="1"/>
  <c r="AS10" i="1"/>
  <c r="AR340" i="1" l="1"/>
  <c r="AR339" i="1"/>
  <c r="AR338" i="1"/>
  <c r="AR337" i="1"/>
  <c r="AR335" i="1"/>
  <c r="AR334" i="1"/>
  <c r="AR333" i="1"/>
  <c r="AR332" i="1"/>
  <c r="AR330" i="1"/>
  <c r="AR329" i="1"/>
  <c r="AR328" i="1"/>
  <c r="AR327" i="1"/>
  <c r="AR324" i="1"/>
  <c r="AR304" i="1"/>
  <c r="AR303" i="1"/>
  <c r="AR302" i="1"/>
  <c r="AR301" i="1"/>
  <c r="AR300" i="1"/>
  <c r="AR299" i="1"/>
  <c r="AR298" i="1"/>
  <c r="AR297" i="1"/>
  <c r="AR295" i="1"/>
  <c r="AR285" i="1"/>
  <c r="AR286" i="1" s="1"/>
  <c r="AR284" i="1"/>
  <c r="AR283" i="1"/>
  <c r="AR282" i="1"/>
  <c r="AR281" i="1"/>
  <c r="AR280" i="1"/>
  <c r="AR279" i="1"/>
  <c r="AR278" i="1"/>
  <c r="AR276" i="1"/>
  <c r="AR266" i="1"/>
  <c r="AR267" i="1" s="1"/>
  <c r="AR265" i="1"/>
  <c r="AR264" i="1"/>
  <c r="AR263" i="1"/>
  <c r="AR262" i="1"/>
  <c r="AR261" i="1"/>
  <c r="AR260" i="1"/>
  <c r="AR259" i="1"/>
  <c r="AR257" i="1"/>
  <c r="AR247" i="1"/>
  <c r="AR246" i="1"/>
  <c r="AR245" i="1"/>
  <c r="AR244" i="1"/>
  <c r="AR243" i="1"/>
  <c r="AR242" i="1"/>
  <c r="AR241" i="1"/>
  <c r="AR240" i="1"/>
  <c r="AR238" i="1"/>
  <c r="AR229" i="1"/>
  <c r="AR221" i="1"/>
  <c r="AR219" i="1"/>
  <c r="AR209" i="1"/>
  <c r="AR210" i="1" s="1"/>
  <c r="AR208" i="1"/>
  <c r="AR207" i="1"/>
  <c r="AR206" i="1"/>
  <c r="AR205" i="1"/>
  <c r="AR204" i="1"/>
  <c r="AR203" i="1"/>
  <c r="AR202" i="1"/>
  <c r="AR200" i="1"/>
  <c r="AR190" i="1"/>
  <c r="AR189" i="1"/>
  <c r="AR188" i="1"/>
  <c r="AR187" i="1"/>
  <c r="AR186" i="1"/>
  <c r="AR185" i="1"/>
  <c r="AR184" i="1"/>
  <c r="AR183" i="1"/>
  <c r="AR181" i="1"/>
  <c r="AR171" i="1"/>
  <c r="AR170" i="1"/>
  <c r="AR169" i="1"/>
  <c r="AR168" i="1"/>
  <c r="AR167" i="1"/>
  <c r="AR166" i="1"/>
  <c r="AR165" i="1"/>
  <c r="AR164" i="1"/>
  <c r="AR162" i="1"/>
  <c r="AR152" i="1"/>
  <c r="AR151" i="1"/>
  <c r="AR150" i="1"/>
  <c r="AR149" i="1"/>
  <c r="AR148" i="1"/>
  <c r="AR147" i="1"/>
  <c r="AR146" i="1"/>
  <c r="AR145" i="1"/>
  <c r="AR143" i="1"/>
  <c r="AR134" i="1"/>
  <c r="AR126" i="1"/>
  <c r="AR124" i="1"/>
  <c r="AR114" i="1"/>
  <c r="AR115" i="1" s="1"/>
  <c r="AR113" i="1"/>
  <c r="AR112" i="1"/>
  <c r="AR111" i="1"/>
  <c r="AR110" i="1"/>
  <c r="AR109" i="1"/>
  <c r="AR108" i="1"/>
  <c r="AR107" i="1"/>
  <c r="AR105" i="1"/>
  <c r="AR95" i="1"/>
  <c r="AR94" i="1"/>
  <c r="AR93" i="1"/>
  <c r="AR92" i="1"/>
  <c r="AR91" i="1"/>
  <c r="AR90" i="1"/>
  <c r="AR89" i="1"/>
  <c r="AR88" i="1"/>
  <c r="AR86" i="1"/>
  <c r="AR76" i="1"/>
  <c r="AR75" i="1"/>
  <c r="AR74" i="1"/>
  <c r="AR73" i="1"/>
  <c r="AR72" i="1"/>
  <c r="AR71" i="1"/>
  <c r="AR70" i="1"/>
  <c r="AR69" i="1"/>
  <c r="AR67" i="1"/>
  <c r="AR57" i="1"/>
  <c r="AR56" i="1"/>
  <c r="AR55" i="1"/>
  <c r="AR54" i="1"/>
  <c r="AR53" i="1"/>
  <c r="AR52" i="1"/>
  <c r="AR51" i="1"/>
  <c r="AR50" i="1"/>
  <c r="AR48" i="1"/>
  <c r="AR39" i="1"/>
  <c r="AR31" i="1"/>
  <c r="AR29" i="1"/>
  <c r="AR20" i="1"/>
  <c r="AR12" i="1"/>
  <c r="AR10" i="1"/>
  <c r="AR191" i="1" l="1"/>
  <c r="AR77" i="1"/>
  <c r="AR248" i="1"/>
  <c r="AR96" i="1"/>
  <c r="AR58" i="1"/>
  <c r="AR153" i="1"/>
  <c r="AR172" i="1"/>
  <c r="AR305" i="1"/>
  <c r="M98" i="1"/>
  <c r="M108" i="1" s="1"/>
  <c r="N13" i="1"/>
  <c r="S223" i="1"/>
  <c r="S222" i="1"/>
  <c r="U14" i="1"/>
  <c r="V14" i="1"/>
  <c r="W223" i="1"/>
  <c r="W222" i="1"/>
  <c r="X222" i="1"/>
  <c r="X212" i="1"/>
  <c r="X288" i="1"/>
  <c r="X298" i="1" s="1"/>
  <c r="X136" i="1"/>
  <c r="X146" i="1" s="1"/>
  <c r="Y4" i="1"/>
  <c r="AB60" i="1"/>
  <c r="AD175" i="1"/>
  <c r="AD174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AQ200" i="1"/>
  <c r="D51" i="1"/>
  <c r="D52" i="1"/>
  <c r="D56" i="1"/>
  <c r="E353" i="1"/>
  <c r="E348" i="1"/>
  <c r="E340" i="1"/>
  <c r="E339" i="1"/>
  <c r="E338" i="1"/>
  <c r="E337" i="1"/>
  <c r="E335" i="1"/>
  <c r="E334" i="1"/>
  <c r="E333" i="1"/>
  <c r="E332" i="1"/>
  <c r="E330" i="1"/>
  <c r="E329" i="1"/>
  <c r="E96" i="1" s="1"/>
  <c r="E328" i="1"/>
  <c r="E327" i="1"/>
  <c r="E324" i="1"/>
  <c r="E304" i="1"/>
  <c r="E303" i="1"/>
  <c r="E299" i="1"/>
  <c r="E298" i="1"/>
  <c r="E297" i="1"/>
  <c r="E295" i="1"/>
  <c r="E285" i="1"/>
  <c r="E284" i="1"/>
  <c r="E280" i="1"/>
  <c r="E279" i="1"/>
  <c r="E278" i="1"/>
  <c r="E276" i="1"/>
  <c r="E266" i="1"/>
  <c r="E267" i="1" s="1"/>
  <c r="E265" i="1"/>
  <c r="E261" i="1"/>
  <c r="E260" i="1"/>
  <c r="E259" i="1"/>
  <c r="E257" i="1"/>
  <c r="E247" i="1"/>
  <c r="E246" i="1"/>
  <c r="E242" i="1"/>
  <c r="E241" i="1"/>
  <c r="E240" i="1"/>
  <c r="E238" i="1"/>
  <c r="E229" i="1"/>
  <c r="E221" i="1"/>
  <c r="E219" i="1"/>
  <c r="E209" i="1"/>
  <c r="E210" i="1" s="1"/>
  <c r="E208" i="1"/>
  <c r="E204" i="1"/>
  <c r="E203" i="1"/>
  <c r="E202" i="1"/>
  <c r="E190" i="1"/>
  <c r="E189" i="1"/>
  <c r="E185" i="1"/>
  <c r="E184" i="1"/>
  <c r="E183" i="1"/>
  <c r="E181" i="1"/>
  <c r="E171" i="1"/>
  <c r="E170" i="1"/>
  <c r="E166" i="1"/>
  <c r="E165" i="1"/>
  <c r="E164" i="1"/>
  <c r="E162" i="1"/>
  <c r="E152" i="1"/>
  <c r="E151" i="1"/>
  <c r="E147" i="1"/>
  <c r="E146" i="1"/>
  <c r="E145" i="1"/>
  <c r="E143" i="1"/>
  <c r="E134" i="1"/>
  <c r="E126" i="1"/>
  <c r="E124" i="1"/>
  <c r="E114" i="1"/>
  <c r="E113" i="1"/>
  <c r="E109" i="1"/>
  <c r="E108" i="1"/>
  <c r="E107" i="1"/>
  <c r="E105" i="1"/>
  <c r="E95" i="1"/>
  <c r="E94" i="1"/>
  <c r="E90" i="1"/>
  <c r="E89" i="1"/>
  <c r="E88" i="1"/>
  <c r="E86" i="1"/>
  <c r="E76" i="1"/>
  <c r="E75" i="1"/>
  <c r="E71" i="1"/>
  <c r="E70" i="1"/>
  <c r="E69" i="1"/>
  <c r="E67" i="1"/>
  <c r="E57" i="1"/>
  <c r="E58" i="1" s="1"/>
  <c r="E56" i="1"/>
  <c r="E52" i="1"/>
  <c r="E51" i="1"/>
  <c r="E50" i="1"/>
  <c r="E48" i="1"/>
  <c r="E39" i="1"/>
  <c r="E31" i="1"/>
  <c r="E29" i="1"/>
  <c r="E20" i="1"/>
  <c r="E12" i="1"/>
  <c r="E10" i="1"/>
  <c r="AQ304" i="1"/>
  <c r="AQ340" i="1"/>
  <c r="AQ305" i="1"/>
  <c r="AP304" i="1"/>
  <c r="AP340" i="1"/>
  <c r="AO304" i="1"/>
  <c r="AO340" i="1"/>
  <c r="AN304" i="1"/>
  <c r="AN340" i="1"/>
  <c r="AN305" i="1" s="1"/>
  <c r="AM304" i="1"/>
  <c r="AM340" i="1"/>
  <c r="AL304" i="1"/>
  <c r="AL340" i="1"/>
  <c r="AK304" i="1"/>
  <c r="AK340" i="1"/>
  <c r="AJ304" i="1"/>
  <c r="AJ340" i="1"/>
  <c r="AI304" i="1"/>
  <c r="AI340" i="1"/>
  <c r="AH304" i="1"/>
  <c r="AH340" i="1"/>
  <c r="AG304" i="1"/>
  <c r="AG340" i="1"/>
  <c r="AF304" i="1"/>
  <c r="AF340" i="1"/>
  <c r="AE304" i="1"/>
  <c r="AE340" i="1"/>
  <c r="AD304" i="1"/>
  <c r="AD340" i="1"/>
  <c r="AC304" i="1"/>
  <c r="AC340" i="1"/>
  <c r="AB304" i="1"/>
  <c r="AB340" i="1"/>
  <c r="AA304" i="1"/>
  <c r="AA340" i="1"/>
  <c r="Z304" i="1"/>
  <c r="Z340" i="1"/>
  <c r="Y304" i="1"/>
  <c r="Y340" i="1"/>
  <c r="X304" i="1"/>
  <c r="X340" i="1"/>
  <c r="X305" i="1" s="1"/>
  <c r="W304" i="1"/>
  <c r="W340" i="1"/>
  <c r="V304" i="1"/>
  <c r="V340" i="1"/>
  <c r="U304" i="1"/>
  <c r="U305" i="1" s="1"/>
  <c r="U340" i="1"/>
  <c r="T304" i="1"/>
  <c r="T340" i="1"/>
  <c r="S304" i="1"/>
  <c r="S340" i="1"/>
  <c r="S305" i="1" s="1"/>
  <c r="R304" i="1"/>
  <c r="R340" i="1"/>
  <c r="Q304" i="1"/>
  <c r="Q340" i="1"/>
  <c r="P304" i="1"/>
  <c r="P340" i="1"/>
  <c r="O304" i="1"/>
  <c r="O340" i="1"/>
  <c r="N304" i="1"/>
  <c r="N340" i="1"/>
  <c r="M304" i="1"/>
  <c r="M340" i="1"/>
  <c r="L304" i="1"/>
  <c r="L340" i="1"/>
  <c r="K304" i="1"/>
  <c r="K305" i="1" s="1"/>
  <c r="K340" i="1"/>
  <c r="J304" i="1"/>
  <c r="J340" i="1"/>
  <c r="I304" i="1"/>
  <c r="I340" i="1"/>
  <c r="H304" i="1"/>
  <c r="H340" i="1"/>
  <c r="G304" i="1"/>
  <c r="G340" i="1"/>
  <c r="F304" i="1"/>
  <c r="F340" i="1"/>
  <c r="D304" i="1"/>
  <c r="D340" i="1"/>
  <c r="AQ295" i="1"/>
  <c r="AP295" i="1"/>
  <c r="AO295" i="1"/>
  <c r="AN295" i="1"/>
  <c r="AM295" i="1"/>
  <c r="AL295" i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D295" i="1"/>
  <c r="AQ285" i="1"/>
  <c r="AQ339" i="1"/>
  <c r="AP285" i="1"/>
  <c r="AP339" i="1"/>
  <c r="AO285" i="1"/>
  <c r="AO339" i="1"/>
  <c r="AN285" i="1"/>
  <c r="AN339" i="1"/>
  <c r="AN286" i="1" s="1"/>
  <c r="AM285" i="1"/>
  <c r="AM339" i="1"/>
  <c r="AL285" i="1"/>
  <c r="AL339" i="1"/>
  <c r="AK285" i="1"/>
  <c r="AK339" i="1"/>
  <c r="AJ285" i="1"/>
  <c r="AJ339" i="1"/>
  <c r="AJ286" i="1" s="1"/>
  <c r="AI285" i="1"/>
  <c r="AI286" i="1" s="1"/>
  <c r="AI339" i="1"/>
  <c r="AH285" i="1"/>
  <c r="AH339" i="1"/>
  <c r="AG285" i="1"/>
  <c r="AG339" i="1"/>
  <c r="AF285" i="1"/>
  <c r="AF339" i="1"/>
  <c r="AE285" i="1"/>
  <c r="AE339" i="1"/>
  <c r="AD285" i="1"/>
  <c r="AD339" i="1"/>
  <c r="AC285" i="1"/>
  <c r="AC339" i="1"/>
  <c r="AB285" i="1"/>
  <c r="AB339" i="1"/>
  <c r="AA285" i="1"/>
  <c r="AA339" i="1"/>
  <c r="Z285" i="1"/>
  <c r="Z339" i="1"/>
  <c r="Y285" i="1"/>
  <c r="Y339" i="1"/>
  <c r="X285" i="1"/>
  <c r="X339" i="1"/>
  <c r="W285" i="1"/>
  <c r="W339" i="1"/>
  <c r="V285" i="1"/>
  <c r="V339" i="1"/>
  <c r="U285" i="1"/>
  <c r="U339" i="1"/>
  <c r="T285" i="1"/>
  <c r="T339" i="1"/>
  <c r="S285" i="1"/>
  <c r="S339" i="1"/>
  <c r="R285" i="1"/>
  <c r="R339" i="1"/>
  <c r="Q285" i="1"/>
  <c r="Q339" i="1"/>
  <c r="P285" i="1"/>
  <c r="P339" i="1"/>
  <c r="P286" i="1"/>
  <c r="O285" i="1"/>
  <c r="O339" i="1"/>
  <c r="N285" i="1"/>
  <c r="N339" i="1"/>
  <c r="M285" i="1"/>
  <c r="M339" i="1"/>
  <c r="L285" i="1"/>
  <c r="L339" i="1"/>
  <c r="K285" i="1"/>
  <c r="K339" i="1"/>
  <c r="J285" i="1"/>
  <c r="J339" i="1"/>
  <c r="I285" i="1"/>
  <c r="I339" i="1"/>
  <c r="H285" i="1"/>
  <c r="H339" i="1"/>
  <c r="G285" i="1"/>
  <c r="G339" i="1"/>
  <c r="F285" i="1"/>
  <c r="F339" i="1"/>
  <c r="D285" i="1"/>
  <c r="D339" i="1"/>
  <c r="AQ276" i="1"/>
  <c r="AP276" i="1"/>
  <c r="AO276" i="1"/>
  <c r="AN276" i="1"/>
  <c r="AM276" i="1"/>
  <c r="AL276" i="1"/>
  <c r="AK276" i="1"/>
  <c r="AJ276" i="1"/>
  <c r="AI276" i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D276" i="1"/>
  <c r="AQ266" i="1"/>
  <c r="AQ338" i="1"/>
  <c r="AP266" i="1"/>
  <c r="AP338" i="1"/>
  <c r="AO266" i="1"/>
  <c r="AO338" i="1"/>
  <c r="AN266" i="1"/>
  <c r="AN338" i="1"/>
  <c r="AM266" i="1"/>
  <c r="AM338" i="1"/>
  <c r="AL266" i="1"/>
  <c r="AL338" i="1"/>
  <c r="AK266" i="1"/>
  <c r="AK338" i="1"/>
  <c r="AJ266" i="1"/>
  <c r="AJ338" i="1"/>
  <c r="AI266" i="1"/>
  <c r="AI338" i="1"/>
  <c r="AI267" i="1" s="1"/>
  <c r="AH266" i="1"/>
  <c r="AH267" i="1" s="1"/>
  <c r="AH338" i="1"/>
  <c r="AG266" i="1"/>
  <c r="AG338" i="1"/>
  <c r="AF266" i="1"/>
  <c r="AF338" i="1"/>
  <c r="AE266" i="1"/>
  <c r="AE338" i="1"/>
  <c r="AD266" i="1"/>
  <c r="AD338" i="1"/>
  <c r="AC266" i="1"/>
  <c r="AC338" i="1"/>
  <c r="AB266" i="1"/>
  <c r="AB338" i="1"/>
  <c r="AA266" i="1"/>
  <c r="AA267" i="1" s="1"/>
  <c r="AA338" i="1"/>
  <c r="Z266" i="1"/>
  <c r="Z338" i="1"/>
  <c r="Y266" i="1"/>
  <c r="Y338" i="1"/>
  <c r="X266" i="1"/>
  <c r="X338" i="1"/>
  <c r="W266" i="1"/>
  <c r="W338" i="1"/>
  <c r="V266" i="1"/>
  <c r="V338" i="1"/>
  <c r="U266" i="1"/>
  <c r="U338" i="1"/>
  <c r="T266" i="1"/>
  <c r="T338" i="1"/>
  <c r="S266" i="1"/>
  <c r="S267" i="1" s="1"/>
  <c r="S338" i="1"/>
  <c r="R266" i="1"/>
  <c r="R338" i="1"/>
  <c r="Q266" i="1"/>
  <c r="Q338" i="1"/>
  <c r="P266" i="1"/>
  <c r="P338" i="1"/>
  <c r="O266" i="1"/>
  <c r="O338" i="1"/>
  <c r="N266" i="1"/>
  <c r="N338" i="1"/>
  <c r="M266" i="1"/>
  <c r="M338" i="1"/>
  <c r="L266" i="1"/>
  <c r="L338" i="1"/>
  <c r="K266" i="1"/>
  <c r="K338" i="1"/>
  <c r="K267" i="1" s="1"/>
  <c r="J266" i="1"/>
  <c r="J338" i="1"/>
  <c r="I266" i="1"/>
  <c r="I267" i="1" s="1"/>
  <c r="I338" i="1"/>
  <c r="H266" i="1"/>
  <c r="H338" i="1"/>
  <c r="G266" i="1"/>
  <c r="G338" i="1"/>
  <c r="F266" i="1"/>
  <c r="F338" i="1"/>
  <c r="D266" i="1"/>
  <c r="D338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D257" i="1"/>
  <c r="AQ257" i="1"/>
  <c r="AP257" i="1"/>
  <c r="AO257" i="1"/>
  <c r="AN257" i="1"/>
  <c r="AM257" i="1"/>
  <c r="AL257" i="1"/>
  <c r="AK257" i="1"/>
  <c r="AJ257" i="1"/>
  <c r="AI257" i="1"/>
  <c r="AH257" i="1"/>
  <c r="AG257" i="1"/>
  <c r="AF257" i="1"/>
  <c r="AE257" i="1"/>
  <c r="AD257" i="1"/>
  <c r="AQ247" i="1"/>
  <c r="AQ337" i="1"/>
  <c r="AP247" i="1"/>
  <c r="AP337" i="1"/>
  <c r="AO247" i="1"/>
  <c r="AO337" i="1"/>
  <c r="AN247" i="1"/>
  <c r="AN337" i="1"/>
  <c r="AM247" i="1"/>
  <c r="AM337" i="1"/>
  <c r="AL247" i="1"/>
  <c r="AL337" i="1"/>
  <c r="AK247" i="1"/>
  <c r="AK337" i="1"/>
  <c r="AJ247" i="1"/>
  <c r="AJ337" i="1"/>
  <c r="AJ248" i="1" s="1"/>
  <c r="AI247" i="1"/>
  <c r="AI337" i="1"/>
  <c r="AH247" i="1"/>
  <c r="AH337" i="1"/>
  <c r="AG247" i="1"/>
  <c r="AG337" i="1"/>
  <c r="AF247" i="1"/>
  <c r="AF337" i="1"/>
  <c r="AE247" i="1"/>
  <c r="AE337" i="1"/>
  <c r="AD247" i="1"/>
  <c r="AD337" i="1"/>
  <c r="AC247" i="1"/>
  <c r="AC337" i="1"/>
  <c r="AB247" i="1"/>
  <c r="AB337" i="1"/>
  <c r="AA247" i="1"/>
  <c r="AA337" i="1"/>
  <c r="Z247" i="1"/>
  <c r="Z337" i="1"/>
  <c r="Y247" i="1"/>
  <c r="Y337" i="1"/>
  <c r="X247" i="1"/>
  <c r="X337" i="1"/>
  <c r="X248" i="1"/>
  <c r="W247" i="1"/>
  <c r="W337" i="1"/>
  <c r="W248" i="1" s="1"/>
  <c r="V247" i="1"/>
  <c r="V337" i="1"/>
  <c r="U247" i="1"/>
  <c r="U337" i="1"/>
  <c r="T247" i="1"/>
  <c r="T337" i="1"/>
  <c r="S247" i="1"/>
  <c r="S337" i="1"/>
  <c r="R247" i="1"/>
  <c r="R337" i="1"/>
  <c r="Q247" i="1"/>
  <c r="Q337" i="1"/>
  <c r="P247" i="1"/>
  <c r="P337" i="1"/>
  <c r="O247" i="1"/>
  <c r="O337" i="1"/>
  <c r="N247" i="1"/>
  <c r="N337" i="1"/>
  <c r="M247" i="1"/>
  <c r="M337" i="1"/>
  <c r="L247" i="1"/>
  <c r="L337" i="1"/>
  <c r="K247" i="1"/>
  <c r="K337" i="1"/>
  <c r="J247" i="1"/>
  <c r="J337" i="1"/>
  <c r="I247" i="1"/>
  <c r="I337" i="1"/>
  <c r="H247" i="1"/>
  <c r="H248" i="1" s="1"/>
  <c r="H337" i="1"/>
  <c r="G247" i="1"/>
  <c r="G337" i="1"/>
  <c r="F247" i="1"/>
  <c r="F337" i="1"/>
  <c r="D247" i="1"/>
  <c r="D337" i="1"/>
  <c r="AQ238" i="1"/>
  <c r="AP238" i="1"/>
  <c r="AO238" i="1"/>
  <c r="AN238" i="1"/>
  <c r="AM238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D238" i="1"/>
  <c r="AQ209" i="1"/>
  <c r="AQ335" i="1"/>
  <c r="AP209" i="1"/>
  <c r="AP335" i="1"/>
  <c r="AO209" i="1"/>
  <c r="AO335" i="1"/>
  <c r="AN209" i="1"/>
  <c r="AN335" i="1"/>
  <c r="AM209" i="1"/>
  <c r="AM335" i="1"/>
  <c r="AL209" i="1"/>
  <c r="AL335" i="1"/>
  <c r="AK209" i="1"/>
  <c r="AK335" i="1"/>
  <c r="AJ209" i="1"/>
  <c r="AJ335" i="1"/>
  <c r="AJ210" i="1"/>
  <c r="AI209" i="1"/>
  <c r="AI335" i="1"/>
  <c r="AI210" i="1" s="1"/>
  <c r="AH209" i="1"/>
  <c r="AH335" i="1"/>
  <c r="AG209" i="1"/>
  <c r="AG335" i="1"/>
  <c r="AF209" i="1"/>
  <c r="AF210" i="1" s="1"/>
  <c r="AF335" i="1"/>
  <c r="AE209" i="1"/>
  <c r="AE335" i="1"/>
  <c r="AD209" i="1"/>
  <c r="AD335" i="1"/>
  <c r="AC209" i="1"/>
  <c r="AC335" i="1"/>
  <c r="AB209" i="1"/>
  <c r="AB335" i="1"/>
  <c r="AB210" i="1"/>
  <c r="AA209" i="1"/>
  <c r="AA335" i="1"/>
  <c r="Z209" i="1"/>
  <c r="Z335" i="1"/>
  <c r="Y209" i="1"/>
  <c r="Y335" i="1"/>
  <c r="X209" i="1"/>
  <c r="X335" i="1"/>
  <c r="W209" i="1"/>
  <c r="W335" i="1"/>
  <c r="V209" i="1"/>
  <c r="V335" i="1"/>
  <c r="U209" i="1"/>
  <c r="U335" i="1"/>
  <c r="T209" i="1"/>
  <c r="T335" i="1"/>
  <c r="S209" i="1"/>
  <c r="S335" i="1"/>
  <c r="R209" i="1"/>
  <c r="R335" i="1"/>
  <c r="Q209" i="1"/>
  <c r="Q335" i="1"/>
  <c r="P209" i="1"/>
  <c r="P335" i="1"/>
  <c r="O209" i="1"/>
  <c r="O335" i="1"/>
  <c r="N209" i="1"/>
  <c r="N335" i="1"/>
  <c r="M209" i="1"/>
  <c r="M335" i="1"/>
  <c r="L209" i="1"/>
  <c r="L335" i="1"/>
  <c r="K209" i="1"/>
  <c r="K335" i="1"/>
  <c r="J209" i="1"/>
  <c r="J335" i="1"/>
  <c r="I209" i="1"/>
  <c r="I335" i="1"/>
  <c r="H209" i="1"/>
  <c r="H335" i="1"/>
  <c r="G209" i="1"/>
  <c r="G335" i="1"/>
  <c r="F209" i="1"/>
  <c r="F335" i="1"/>
  <c r="D209" i="1"/>
  <c r="D335" i="1"/>
  <c r="F190" i="1"/>
  <c r="F334" i="1"/>
  <c r="AQ190" i="1"/>
  <c r="AQ191" i="1" s="1"/>
  <c r="AQ334" i="1"/>
  <c r="AP190" i="1"/>
  <c r="AP334" i="1"/>
  <c r="AO190" i="1"/>
  <c r="AO334" i="1"/>
  <c r="AN190" i="1"/>
  <c r="AN334" i="1"/>
  <c r="AM190" i="1"/>
  <c r="AM334" i="1"/>
  <c r="AL190" i="1"/>
  <c r="AL334" i="1"/>
  <c r="AK190" i="1"/>
  <c r="AK334" i="1"/>
  <c r="AJ190" i="1"/>
  <c r="AJ334" i="1"/>
  <c r="AJ191" i="1"/>
  <c r="AI190" i="1"/>
  <c r="AI334" i="1"/>
  <c r="AH190" i="1"/>
  <c r="AH334" i="1"/>
  <c r="AG190" i="1"/>
  <c r="AG334" i="1"/>
  <c r="AF190" i="1"/>
  <c r="AF334" i="1"/>
  <c r="AE190" i="1"/>
  <c r="AE334" i="1"/>
  <c r="AD190" i="1"/>
  <c r="AD334" i="1"/>
  <c r="AC190" i="1"/>
  <c r="AC334" i="1"/>
  <c r="AB190" i="1"/>
  <c r="AB334" i="1"/>
  <c r="AA190" i="1"/>
  <c r="AA334" i="1"/>
  <c r="Z190" i="1"/>
  <c r="Z334" i="1"/>
  <c r="Y190" i="1"/>
  <c r="Y334" i="1"/>
  <c r="X190" i="1"/>
  <c r="X334" i="1"/>
  <c r="W190" i="1"/>
  <c r="W191" i="1" s="1"/>
  <c r="W334" i="1"/>
  <c r="V190" i="1"/>
  <c r="V334" i="1"/>
  <c r="U190" i="1"/>
  <c r="U334" i="1"/>
  <c r="T190" i="1"/>
  <c r="T334" i="1"/>
  <c r="S190" i="1"/>
  <c r="S334" i="1"/>
  <c r="S191" i="1"/>
  <c r="R190" i="1"/>
  <c r="R334" i="1"/>
  <c r="Q190" i="1"/>
  <c r="Q334" i="1"/>
  <c r="P190" i="1"/>
  <c r="P334" i="1"/>
  <c r="O190" i="1"/>
  <c r="O334" i="1"/>
  <c r="N190" i="1"/>
  <c r="N334" i="1"/>
  <c r="M190" i="1"/>
  <c r="M334" i="1"/>
  <c r="L190" i="1"/>
  <c r="L334" i="1"/>
  <c r="K190" i="1"/>
  <c r="K334" i="1"/>
  <c r="K191" i="1" s="1"/>
  <c r="J190" i="1"/>
  <c r="J334" i="1"/>
  <c r="I190" i="1"/>
  <c r="I334" i="1"/>
  <c r="H190" i="1"/>
  <c r="H334" i="1"/>
  <c r="G190" i="1"/>
  <c r="G334" i="1"/>
  <c r="D190" i="1"/>
  <c r="D334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D181" i="1"/>
  <c r="AQ171" i="1"/>
  <c r="AQ333" i="1"/>
  <c r="AP171" i="1"/>
  <c r="AP333" i="1"/>
  <c r="AO171" i="1"/>
  <c r="AO333" i="1"/>
  <c r="AN171" i="1"/>
  <c r="AN333" i="1"/>
  <c r="AM171" i="1"/>
  <c r="AM333" i="1"/>
  <c r="AL171" i="1"/>
  <c r="AL333" i="1"/>
  <c r="AK171" i="1"/>
  <c r="AK333" i="1"/>
  <c r="AJ171" i="1"/>
  <c r="AJ333" i="1"/>
  <c r="AI171" i="1"/>
  <c r="AI333" i="1"/>
  <c r="AH171" i="1"/>
  <c r="AH333" i="1"/>
  <c r="AG171" i="1"/>
  <c r="AG333" i="1"/>
  <c r="AF171" i="1"/>
  <c r="AF333" i="1"/>
  <c r="AE171" i="1"/>
  <c r="AE333" i="1"/>
  <c r="AD171" i="1"/>
  <c r="AD333" i="1"/>
  <c r="AD172" i="1"/>
  <c r="AC171" i="1"/>
  <c r="AC333" i="1"/>
  <c r="AB171" i="1"/>
  <c r="AB333" i="1"/>
  <c r="AA171" i="1"/>
  <c r="AA333" i="1"/>
  <c r="Z171" i="1"/>
  <c r="Z333" i="1"/>
  <c r="Y171" i="1"/>
  <c r="Y333" i="1"/>
  <c r="X171" i="1"/>
  <c r="X333" i="1"/>
  <c r="W171" i="1"/>
  <c r="W333" i="1"/>
  <c r="V171" i="1"/>
  <c r="V172" i="1" s="1"/>
  <c r="V333" i="1"/>
  <c r="U171" i="1"/>
  <c r="U333" i="1"/>
  <c r="T171" i="1"/>
  <c r="T333" i="1"/>
  <c r="S171" i="1"/>
  <c r="S333" i="1"/>
  <c r="R171" i="1"/>
  <c r="R333" i="1"/>
  <c r="Q171" i="1"/>
  <c r="Q333" i="1"/>
  <c r="P171" i="1"/>
  <c r="P333" i="1"/>
  <c r="O171" i="1"/>
  <c r="O333" i="1"/>
  <c r="N171" i="1"/>
  <c r="N333" i="1"/>
  <c r="M171" i="1"/>
  <c r="M333" i="1"/>
  <c r="L171" i="1"/>
  <c r="L172" i="1" s="1"/>
  <c r="L333" i="1"/>
  <c r="K171" i="1"/>
  <c r="K333" i="1"/>
  <c r="K172" i="1"/>
  <c r="J171" i="1"/>
  <c r="J333" i="1"/>
  <c r="I171" i="1"/>
  <c r="I333" i="1"/>
  <c r="H171" i="1"/>
  <c r="H333" i="1"/>
  <c r="G171" i="1"/>
  <c r="G333" i="1"/>
  <c r="F171" i="1"/>
  <c r="F333" i="1"/>
  <c r="D171" i="1"/>
  <c r="D333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D162" i="1"/>
  <c r="AQ152" i="1"/>
  <c r="AQ332" i="1"/>
  <c r="AP152" i="1"/>
  <c r="AP332" i="1"/>
  <c r="AO152" i="1"/>
  <c r="AO332" i="1"/>
  <c r="AN152" i="1"/>
  <c r="AN332" i="1"/>
  <c r="AM152" i="1"/>
  <c r="AM332" i="1"/>
  <c r="AM153" i="1"/>
  <c r="AL152" i="1"/>
  <c r="AL332" i="1"/>
  <c r="AK152" i="1"/>
  <c r="AK332" i="1"/>
  <c r="AJ152" i="1"/>
  <c r="AJ332" i="1"/>
  <c r="AI152" i="1"/>
  <c r="AI332" i="1"/>
  <c r="AH152" i="1"/>
  <c r="AH332" i="1"/>
  <c r="AG152" i="1"/>
  <c r="AG332" i="1"/>
  <c r="AF152" i="1"/>
  <c r="AF332" i="1"/>
  <c r="AE152" i="1"/>
  <c r="AE332" i="1"/>
  <c r="AD152" i="1"/>
  <c r="AD332" i="1"/>
  <c r="AC152" i="1"/>
  <c r="AC332" i="1"/>
  <c r="AB152" i="1"/>
  <c r="AB332" i="1"/>
  <c r="AA152" i="1"/>
  <c r="AA332" i="1"/>
  <c r="Z152" i="1"/>
  <c r="Z153" i="1" s="1"/>
  <c r="Z332" i="1"/>
  <c r="Y152" i="1"/>
  <c r="Y332" i="1"/>
  <c r="X152" i="1"/>
  <c r="X332" i="1"/>
  <c r="W152" i="1"/>
  <c r="W332" i="1"/>
  <c r="V152" i="1"/>
  <c r="V332" i="1"/>
  <c r="U152" i="1"/>
  <c r="U153" i="1" s="1"/>
  <c r="U332" i="1"/>
  <c r="T152" i="1"/>
  <c r="T332" i="1"/>
  <c r="S152" i="1"/>
  <c r="S332" i="1"/>
  <c r="R152" i="1"/>
  <c r="R332" i="1"/>
  <c r="Q152" i="1"/>
  <c r="Q332" i="1"/>
  <c r="P152" i="1"/>
  <c r="P332" i="1"/>
  <c r="O152" i="1"/>
  <c r="O332" i="1"/>
  <c r="N152" i="1"/>
  <c r="N332" i="1"/>
  <c r="M152" i="1"/>
  <c r="M332" i="1"/>
  <c r="L152" i="1"/>
  <c r="L332" i="1"/>
  <c r="K152" i="1"/>
  <c r="K153" i="1" s="1"/>
  <c r="K332" i="1"/>
  <c r="J152" i="1"/>
  <c r="J332" i="1"/>
  <c r="I152" i="1"/>
  <c r="I332" i="1"/>
  <c r="H152" i="1"/>
  <c r="H332" i="1"/>
  <c r="G152" i="1"/>
  <c r="G332" i="1"/>
  <c r="F152" i="1"/>
  <c r="F153" i="1" s="1"/>
  <c r="F332" i="1"/>
  <c r="D152" i="1"/>
  <c r="D332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D143" i="1"/>
  <c r="AQ114" i="1"/>
  <c r="AQ330" i="1"/>
  <c r="AP114" i="1"/>
  <c r="AP330" i="1"/>
  <c r="AO114" i="1"/>
  <c r="AO330" i="1"/>
  <c r="AN114" i="1"/>
  <c r="AN330" i="1"/>
  <c r="AM114" i="1"/>
  <c r="AM330" i="1"/>
  <c r="AM115" i="1" s="1"/>
  <c r="AL114" i="1"/>
  <c r="AL330" i="1"/>
  <c r="AK114" i="1"/>
  <c r="AK330" i="1"/>
  <c r="AJ114" i="1"/>
  <c r="AJ330" i="1"/>
  <c r="AI114" i="1"/>
  <c r="AI330" i="1"/>
  <c r="AH114" i="1"/>
  <c r="AH330" i="1"/>
  <c r="AG114" i="1"/>
  <c r="AG330" i="1"/>
  <c r="AF114" i="1"/>
  <c r="AF330" i="1"/>
  <c r="AE114" i="1"/>
  <c r="AE330" i="1"/>
  <c r="AD114" i="1"/>
  <c r="AD115" i="1" s="1"/>
  <c r="AD330" i="1"/>
  <c r="AC114" i="1"/>
  <c r="AC330" i="1"/>
  <c r="AB114" i="1"/>
  <c r="AB330" i="1"/>
  <c r="AA114" i="1"/>
  <c r="AA330" i="1"/>
  <c r="Z114" i="1"/>
  <c r="Z330" i="1"/>
  <c r="Y114" i="1"/>
  <c r="Y330" i="1"/>
  <c r="X114" i="1"/>
  <c r="X330" i="1"/>
  <c r="W114" i="1"/>
  <c r="W330" i="1"/>
  <c r="W115" i="1"/>
  <c r="V114" i="1"/>
  <c r="V330" i="1"/>
  <c r="U114" i="1"/>
  <c r="U330" i="1"/>
  <c r="T114" i="1"/>
  <c r="T330" i="1"/>
  <c r="S114" i="1"/>
  <c r="S330" i="1"/>
  <c r="R114" i="1"/>
  <c r="R330" i="1"/>
  <c r="Q114" i="1"/>
  <c r="Q330" i="1"/>
  <c r="P114" i="1"/>
  <c r="P330" i="1"/>
  <c r="O114" i="1"/>
  <c r="O115" i="1" s="1"/>
  <c r="O330" i="1"/>
  <c r="N114" i="1"/>
  <c r="N330" i="1"/>
  <c r="M114" i="1"/>
  <c r="M330" i="1"/>
  <c r="L114" i="1"/>
  <c r="L330" i="1"/>
  <c r="K114" i="1"/>
  <c r="K330" i="1"/>
  <c r="J114" i="1"/>
  <c r="J330" i="1"/>
  <c r="I114" i="1"/>
  <c r="I330" i="1"/>
  <c r="H114" i="1"/>
  <c r="H330" i="1"/>
  <c r="G114" i="1"/>
  <c r="G330" i="1"/>
  <c r="F114" i="1"/>
  <c r="F330" i="1"/>
  <c r="F115" i="1" s="1"/>
  <c r="D114" i="1"/>
  <c r="D330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D105" i="1"/>
  <c r="AQ95" i="1"/>
  <c r="AQ329" i="1"/>
  <c r="AP95" i="1"/>
  <c r="AP329" i="1"/>
  <c r="AO95" i="1"/>
  <c r="AO329" i="1"/>
  <c r="AN95" i="1"/>
  <c r="AN329" i="1"/>
  <c r="AM95" i="1"/>
  <c r="AM329" i="1"/>
  <c r="AL95" i="1"/>
  <c r="AL329" i="1"/>
  <c r="AK95" i="1"/>
  <c r="AK329" i="1"/>
  <c r="AJ95" i="1"/>
  <c r="AJ329" i="1"/>
  <c r="AI95" i="1"/>
  <c r="AI329" i="1"/>
  <c r="AH95" i="1"/>
  <c r="AH329" i="1"/>
  <c r="AH96" i="1" s="1"/>
  <c r="AG95" i="1"/>
  <c r="AG329" i="1"/>
  <c r="AF95" i="1"/>
  <c r="AF329" i="1"/>
  <c r="AE95" i="1"/>
  <c r="AE329" i="1"/>
  <c r="AD95" i="1"/>
  <c r="AD329" i="1"/>
  <c r="AC95" i="1"/>
  <c r="AC329" i="1"/>
  <c r="AB95" i="1"/>
  <c r="AB329" i="1"/>
  <c r="AA95" i="1"/>
  <c r="AA329" i="1"/>
  <c r="Z95" i="1"/>
  <c r="Z329" i="1"/>
  <c r="Z96" i="1"/>
  <c r="Y95" i="1"/>
  <c r="Y329" i="1"/>
  <c r="X95" i="1"/>
  <c r="X329" i="1"/>
  <c r="W95" i="1"/>
  <c r="W329" i="1"/>
  <c r="V95" i="1"/>
  <c r="V329" i="1"/>
  <c r="U95" i="1"/>
  <c r="U329" i="1"/>
  <c r="T95" i="1"/>
  <c r="T329" i="1"/>
  <c r="S95" i="1"/>
  <c r="S329" i="1"/>
  <c r="S96" i="1" s="1"/>
  <c r="R95" i="1"/>
  <c r="R329" i="1"/>
  <c r="Q95" i="1"/>
  <c r="Q329" i="1"/>
  <c r="P95" i="1"/>
  <c r="P329" i="1"/>
  <c r="O95" i="1"/>
  <c r="O329" i="1"/>
  <c r="N95" i="1"/>
  <c r="N329" i="1"/>
  <c r="M95" i="1"/>
  <c r="M329" i="1"/>
  <c r="L95" i="1"/>
  <c r="L329" i="1"/>
  <c r="K95" i="1"/>
  <c r="K329" i="1"/>
  <c r="J95" i="1"/>
  <c r="J329" i="1"/>
  <c r="I95" i="1"/>
  <c r="I329" i="1"/>
  <c r="H95" i="1"/>
  <c r="H329" i="1"/>
  <c r="G95" i="1"/>
  <c r="G329" i="1"/>
  <c r="G96" i="1"/>
  <c r="F95" i="1"/>
  <c r="F329" i="1"/>
  <c r="D95" i="1"/>
  <c r="D329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D86" i="1"/>
  <c r="AQ76" i="1"/>
  <c r="AQ328" i="1"/>
  <c r="AP76" i="1"/>
  <c r="AP328" i="1"/>
  <c r="AO76" i="1"/>
  <c r="AO328" i="1"/>
  <c r="AN76" i="1"/>
  <c r="AN328" i="1"/>
  <c r="AM76" i="1"/>
  <c r="AM328" i="1"/>
  <c r="AL76" i="1"/>
  <c r="AL328" i="1"/>
  <c r="AK76" i="1"/>
  <c r="AK328" i="1"/>
  <c r="AJ76" i="1"/>
  <c r="AJ328" i="1"/>
  <c r="AI76" i="1"/>
  <c r="AI328" i="1"/>
  <c r="AH76" i="1"/>
  <c r="AH328" i="1"/>
  <c r="AG76" i="1"/>
  <c r="AG328" i="1"/>
  <c r="AF76" i="1"/>
  <c r="AF328" i="1"/>
  <c r="AE76" i="1"/>
  <c r="AE328" i="1"/>
  <c r="AE77" i="1" s="1"/>
  <c r="AD76" i="1"/>
  <c r="AD328" i="1"/>
  <c r="AD77" i="1" s="1"/>
  <c r="AC76" i="1"/>
  <c r="AC328" i="1"/>
  <c r="AB76" i="1"/>
  <c r="AB328" i="1"/>
  <c r="AA76" i="1"/>
  <c r="AA328" i="1"/>
  <c r="Z76" i="1"/>
  <c r="Z328" i="1"/>
  <c r="Y76" i="1"/>
  <c r="Y328" i="1"/>
  <c r="X76" i="1"/>
  <c r="X328" i="1"/>
  <c r="W76" i="1"/>
  <c r="W77" i="1" s="1"/>
  <c r="W328" i="1"/>
  <c r="V76" i="1"/>
  <c r="V328" i="1"/>
  <c r="U76" i="1"/>
  <c r="U328" i="1"/>
  <c r="T76" i="1"/>
  <c r="T328" i="1"/>
  <c r="S76" i="1"/>
  <c r="S328" i="1"/>
  <c r="R76" i="1"/>
  <c r="R328" i="1"/>
  <c r="Q76" i="1"/>
  <c r="Q328" i="1"/>
  <c r="P76" i="1"/>
  <c r="P328" i="1"/>
  <c r="O76" i="1"/>
  <c r="O328" i="1"/>
  <c r="N76" i="1"/>
  <c r="N328" i="1"/>
  <c r="M76" i="1"/>
  <c r="M328" i="1"/>
  <c r="L76" i="1"/>
  <c r="L328" i="1"/>
  <c r="K76" i="1"/>
  <c r="K328" i="1"/>
  <c r="K77" i="1" s="1"/>
  <c r="J76" i="1"/>
  <c r="J328" i="1"/>
  <c r="I76" i="1"/>
  <c r="I328" i="1"/>
  <c r="H76" i="1"/>
  <c r="H328" i="1"/>
  <c r="G76" i="1"/>
  <c r="G328" i="1"/>
  <c r="F76" i="1"/>
  <c r="F328" i="1"/>
  <c r="D76" i="1"/>
  <c r="D328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D67" i="1"/>
  <c r="AQ57" i="1"/>
  <c r="AQ327" i="1"/>
  <c r="AP57" i="1"/>
  <c r="AP58" i="1" s="1"/>
  <c r="AP327" i="1"/>
  <c r="AO57" i="1"/>
  <c r="AO327" i="1"/>
  <c r="AN57" i="1"/>
  <c r="AN327" i="1"/>
  <c r="AM57" i="1"/>
  <c r="AM327" i="1"/>
  <c r="AM58" i="1"/>
  <c r="AL57" i="1"/>
  <c r="AL327" i="1"/>
  <c r="AK57" i="1"/>
  <c r="AK327" i="1"/>
  <c r="AJ57" i="1"/>
  <c r="AJ327" i="1"/>
  <c r="AI57" i="1"/>
  <c r="AI327" i="1"/>
  <c r="AH57" i="1"/>
  <c r="AH327" i="1"/>
  <c r="AG57" i="1"/>
  <c r="AG327" i="1"/>
  <c r="AF57" i="1"/>
  <c r="AF327" i="1"/>
  <c r="AE57" i="1"/>
  <c r="AE327" i="1"/>
  <c r="AE58" i="1" s="1"/>
  <c r="AD57" i="1"/>
  <c r="AD327" i="1"/>
  <c r="AC57" i="1"/>
  <c r="AC327" i="1"/>
  <c r="AB57" i="1"/>
  <c r="AB327" i="1"/>
  <c r="AA57" i="1"/>
  <c r="AA327" i="1"/>
  <c r="Z57" i="1"/>
  <c r="Z327" i="1"/>
  <c r="Y57" i="1"/>
  <c r="Y327" i="1"/>
  <c r="X57" i="1"/>
  <c r="X327" i="1"/>
  <c r="W57" i="1"/>
  <c r="W327" i="1"/>
  <c r="V57" i="1"/>
  <c r="V327" i="1"/>
  <c r="U57" i="1"/>
  <c r="U327" i="1"/>
  <c r="T57" i="1"/>
  <c r="T327" i="1"/>
  <c r="S57" i="1"/>
  <c r="S327" i="1"/>
  <c r="R57" i="1"/>
  <c r="R327" i="1"/>
  <c r="Q57" i="1"/>
  <c r="Q327" i="1"/>
  <c r="P57" i="1"/>
  <c r="P327" i="1"/>
  <c r="O57" i="1"/>
  <c r="O327" i="1"/>
  <c r="N57" i="1"/>
  <c r="N327" i="1"/>
  <c r="M57" i="1"/>
  <c r="M327" i="1"/>
  <c r="L57" i="1"/>
  <c r="L327" i="1"/>
  <c r="K57" i="1"/>
  <c r="K327" i="1"/>
  <c r="J57" i="1"/>
  <c r="J327" i="1"/>
  <c r="I57" i="1"/>
  <c r="I327" i="1"/>
  <c r="H57" i="1"/>
  <c r="H327" i="1"/>
  <c r="G57" i="1"/>
  <c r="G327" i="1"/>
  <c r="F57" i="1"/>
  <c r="F327" i="1"/>
  <c r="D57" i="1"/>
  <c r="D327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D48" i="1"/>
  <c r="AQ324" i="1"/>
  <c r="AP324" i="1"/>
  <c r="AO324" i="1"/>
  <c r="AN324" i="1"/>
  <c r="AM324" i="1"/>
  <c r="AL324" i="1"/>
  <c r="AK324" i="1"/>
  <c r="AJ324" i="1"/>
  <c r="AI324" i="1"/>
  <c r="AH324" i="1"/>
  <c r="AG324" i="1"/>
  <c r="AF324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D324" i="1"/>
  <c r="F353" i="1"/>
  <c r="F348" i="1"/>
  <c r="F343" i="1"/>
  <c r="F342" i="1" s="1"/>
  <c r="F303" i="1"/>
  <c r="F299" i="1"/>
  <c r="F298" i="1"/>
  <c r="F297" i="1"/>
  <c r="F284" i="1"/>
  <c r="F280" i="1"/>
  <c r="F279" i="1"/>
  <c r="F278" i="1"/>
  <c r="F265" i="1"/>
  <c r="F261" i="1"/>
  <c r="F260" i="1"/>
  <c r="F259" i="1"/>
  <c r="F246" i="1"/>
  <c r="F242" i="1"/>
  <c r="F241" i="1"/>
  <c r="F240" i="1"/>
  <c r="F229" i="1"/>
  <c r="F221" i="1"/>
  <c r="F219" i="1"/>
  <c r="F208" i="1"/>
  <c r="F204" i="1"/>
  <c r="F203" i="1"/>
  <c r="F202" i="1"/>
  <c r="F189" i="1"/>
  <c r="F185" i="1"/>
  <c r="F184" i="1"/>
  <c r="F183" i="1"/>
  <c r="F170" i="1"/>
  <c r="F166" i="1"/>
  <c r="F165" i="1"/>
  <c r="F164" i="1"/>
  <c r="F151" i="1"/>
  <c r="F147" i="1"/>
  <c r="F146" i="1"/>
  <c r="F145" i="1"/>
  <c r="F134" i="1"/>
  <c r="F126" i="1"/>
  <c r="F124" i="1"/>
  <c r="F113" i="1"/>
  <c r="F109" i="1"/>
  <c r="F108" i="1"/>
  <c r="F107" i="1"/>
  <c r="F94" i="1"/>
  <c r="F90" i="1"/>
  <c r="F89" i="1"/>
  <c r="F88" i="1"/>
  <c r="F75" i="1"/>
  <c r="F71" i="1"/>
  <c r="F70" i="1"/>
  <c r="F69" i="1"/>
  <c r="F56" i="1"/>
  <c r="F52" i="1"/>
  <c r="F51" i="1"/>
  <c r="F50" i="1"/>
  <c r="F39" i="1"/>
  <c r="F31" i="1"/>
  <c r="F29" i="1"/>
  <c r="F20" i="1"/>
  <c r="F12" i="1"/>
  <c r="F10" i="1"/>
  <c r="G353" i="1"/>
  <c r="G348" i="1"/>
  <c r="G343" i="1"/>
  <c r="G303" i="1"/>
  <c r="G299" i="1"/>
  <c r="G298" i="1"/>
  <c r="G297" i="1"/>
  <c r="G284" i="1"/>
  <c r="G280" i="1"/>
  <c r="G279" i="1"/>
  <c r="G278" i="1"/>
  <c r="G265" i="1"/>
  <c r="G261" i="1"/>
  <c r="G260" i="1"/>
  <c r="G259" i="1"/>
  <c r="G246" i="1"/>
  <c r="G242" i="1"/>
  <c r="G241" i="1"/>
  <c r="G240" i="1"/>
  <c r="G229" i="1"/>
  <c r="G221" i="1"/>
  <c r="G219" i="1"/>
  <c r="G208" i="1"/>
  <c r="G204" i="1"/>
  <c r="G203" i="1"/>
  <c r="G202" i="1"/>
  <c r="G189" i="1"/>
  <c r="G185" i="1"/>
  <c r="G184" i="1"/>
  <c r="G183" i="1"/>
  <c r="G170" i="1"/>
  <c r="G166" i="1"/>
  <c r="G165" i="1"/>
  <c r="G164" i="1"/>
  <c r="G151" i="1"/>
  <c r="G147" i="1"/>
  <c r="G146" i="1"/>
  <c r="G145" i="1"/>
  <c r="G134" i="1"/>
  <c r="G126" i="1"/>
  <c r="G124" i="1"/>
  <c r="G113" i="1"/>
  <c r="G109" i="1"/>
  <c r="G108" i="1"/>
  <c r="G107" i="1"/>
  <c r="G94" i="1"/>
  <c r="G90" i="1"/>
  <c r="G89" i="1"/>
  <c r="G88" i="1"/>
  <c r="G75" i="1"/>
  <c r="G71" i="1"/>
  <c r="G70" i="1"/>
  <c r="G69" i="1"/>
  <c r="G56" i="1"/>
  <c r="G52" i="1"/>
  <c r="G51" i="1"/>
  <c r="G50" i="1"/>
  <c r="G39" i="1"/>
  <c r="G31" i="1"/>
  <c r="G29" i="1"/>
  <c r="G20" i="1"/>
  <c r="G12" i="1"/>
  <c r="G10" i="1"/>
  <c r="H353" i="1"/>
  <c r="H348" i="1"/>
  <c r="H343" i="1"/>
  <c r="H342" i="1" s="1"/>
  <c r="H303" i="1"/>
  <c r="H299" i="1"/>
  <c r="H298" i="1"/>
  <c r="H297" i="1"/>
  <c r="H284" i="1"/>
  <c r="H280" i="1"/>
  <c r="H279" i="1"/>
  <c r="H278" i="1"/>
  <c r="H265" i="1"/>
  <c r="H261" i="1"/>
  <c r="H260" i="1"/>
  <c r="H259" i="1"/>
  <c r="H246" i="1"/>
  <c r="H242" i="1"/>
  <c r="H241" i="1"/>
  <c r="H240" i="1"/>
  <c r="H229" i="1"/>
  <c r="H221" i="1"/>
  <c r="H219" i="1"/>
  <c r="H208" i="1"/>
  <c r="H204" i="1"/>
  <c r="H203" i="1"/>
  <c r="H202" i="1"/>
  <c r="H189" i="1"/>
  <c r="H185" i="1"/>
  <c r="H184" i="1"/>
  <c r="H183" i="1"/>
  <c r="H170" i="1"/>
  <c r="H166" i="1"/>
  <c r="H165" i="1"/>
  <c r="H164" i="1"/>
  <c r="H151" i="1"/>
  <c r="H147" i="1"/>
  <c r="H146" i="1"/>
  <c r="H145" i="1"/>
  <c r="H134" i="1"/>
  <c r="H126" i="1"/>
  <c r="H124" i="1"/>
  <c r="H113" i="1"/>
  <c r="H109" i="1"/>
  <c r="H108" i="1"/>
  <c r="H107" i="1"/>
  <c r="H94" i="1"/>
  <c r="H90" i="1"/>
  <c r="H89" i="1"/>
  <c r="H88" i="1"/>
  <c r="H75" i="1"/>
  <c r="H71" i="1"/>
  <c r="H70" i="1"/>
  <c r="H69" i="1"/>
  <c r="H56" i="1"/>
  <c r="H52" i="1"/>
  <c r="H51" i="1"/>
  <c r="H50" i="1"/>
  <c r="H39" i="1"/>
  <c r="H31" i="1"/>
  <c r="H29" i="1"/>
  <c r="H20" i="1"/>
  <c r="H12" i="1"/>
  <c r="H10" i="1"/>
  <c r="I353" i="1"/>
  <c r="I348" i="1"/>
  <c r="I343" i="1"/>
  <c r="I303" i="1"/>
  <c r="I299" i="1"/>
  <c r="I298" i="1"/>
  <c r="I297" i="1"/>
  <c r="I284" i="1"/>
  <c r="I280" i="1"/>
  <c r="I279" i="1"/>
  <c r="I278" i="1"/>
  <c r="I265" i="1"/>
  <c r="I261" i="1"/>
  <c r="I260" i="1"/>
  <c r="I259" i="1"/>
  <c r="I246" i="1"/>
  <c r="I242" i="1"/>
  <c r="I241" i="1"/>
  <c r="I240" i="1"/>
  <c r="I229" i="1"/>
  <c r="I221" i="1"/>
  <c r="I219" i="1"/>
  <c r="I208" i="1"/>
  <c r="I204" i="1"/>
  <c r="I203" i="1"/>
  <c r="I202" i="1"/>
  <c r="I189" i="1"/>
  <c r="I185" i="1"/>
  <c r="I184" i="1"/>
  <c r="I183" i="1"/>
  <c r="I170" i="1"/>
  <c r="I166" i="1"/>
  <c r="I165" i="1"/>
  <c r="I164" i="1"/>
  <c r="I151" i="1"/>
  <c r="I147" i="1"/>
  <c r="I146" i="1"/>
  <c r="I145" i="1"/>
  <c r="I134" i="1"/>
  <c r="I126" i="1"/>
  <c r="I124" i="1"/>
  <c r="I113" i="1"/>
  <c r="I109" i="1"/>
  <c r="I108" i="1"/>
  <c r="I107" i="1"/>
  <c r="I94" i="1"/>
  <c r="I90" i="1"/>
  <c r="I89" i="1"/>
  <c r="I88" i="1"/>
  <c r="I75" i="1"/>
  <c r="I71" i="1"/>
  <c r="I70" i="1"/>
  <c r="I69" i="1"/>
  <c r="I56" i="1"/>
  <c r="I52" i="1"/>
  <c r="I51" i="1"/>
  <c r="I50" i="1"/>
  <c r="I39" i="1"/>
  <c r="I31" i="1"/>
  <c r="I29" i="1"/>
  <c r="I20" i="1"/>
  <c r="I12" i="1"/>
  <c r="I10" i="1"/>
  <c r="J353" i="1"/>
  <c r="J348" i="1"/>
  <c r="J343" i="1"/>
  <c r="J303" i="1"/>
  <c r="J299" i="1"/>
  <c r="J298" i="1"/>
  <c r="J297" i="1"/>
  <c r="J284" i="1"/>
  <c r="J280" i="1"/>
  <c r="J279" i="1"/>
  <c r="J278" i="1"/>
  <c r="J265" i="1"/>
  <c r="J261" i="1"/>
  <c r="J260" i="1"/>
  <c r="J259" i="1"/>
  <c r="J246" i="1"/>
  <c r="J242" i="1"/>
  <c r="J241" i="1"/>
  <c r="J240" i="1"/>
  <c r="J229" i="1"/>
  <c r="J221" i="1"/>
  <c r="J219" i="1"/>
  <c r="J208" i="1"/>
  <c r="J204" i="1"/>
  <c r="J203" i="1"/>
  <c r="J202" i="1"/>
  <c r="J189" i="1"/>
  <c r="J185" i="1"/>
  <c r="J184" i="1"/>
  <c r="J183" i="1"/>
  <c r="J170" i="1"/>
  <c r="J166" i="1"/>
  <c r="J165" i="1"/>
  <c r="J164" i="1"/>
  <c r="J151" i="1"/>
  <c r="J147" i="1"/>
  <c r="J146" i="1"/>
  <c r="J145" i="1"/>
  <c r="J134" i="1"/>
  <c r="J126" i="1"/>
  <c r="J124" i="1"/>
  <c r="J113" i="1"/>
  <c r="J109" i="1"/>
  <c r="J108" i="1"/>
  <c r="J107" i="1"/>
  <c r="J94" i="1"/>
  <c r="J90" i="1"/>
  <c r="J89" i="1"/>
  <c r="J88" i="1"/>
  <c r="J75" i="1"/>
  <c r="J71" i="1"/>
  <c r="J70" i="1"/>
  <c r="J69" i="1"/>
  <c r="J56" i="1"/>
  <c r="J52" i="1"/>
  <c r="J51" i="1"/>
  <c r="J50" i="1"/>
  <c r="J39" i="1"/>
  <c r="J31" i="1"/>
  <c r="J29" i="1"/>
  <c r="J20" i="1"/>
  <c r="J12" i="1"/>
  <c r="J10" i="1"/>
  <c r="K353" i="1"/>
  <c r="K348" i="1"/>
  <c r="K343" i="1"/>
  <c r="K303" i="1"/>
  <c r="K289" i="1"/>
  <c r="K299" i="1"/>
  <c r="K298" i="1"/>
  <c r="K297" i="1"/>
  <c r="K284" i="1"/>
  <c r="K270" i="1"/>
  <c r="K280" i="1" s="1"/>
  <c r="K279" i="1"/>
  <c r="K278" i="1"/>
  <c r="K265" i="1"/>
  <c r="K251" i="1"/>
  <c r="K261" i="1" s="1"/>
  <c r="K260" i="1"/>
  <c r="K259" i="1"/>
  <c r="K246" i="1"/>
  <c r="K232" i="1"/>
  <c r="K242" i="1" s="1"/>
  <c r="K241" i="1"/>
  <c r="K240" i="1"/>
  <c r="K229" i="1"/>
  <c r="K221" i="1"/>
  <c r="K219" i="1"/>
  <c r="K213" i="1"/>
  <c r="K208" i="1"/>
  <c r="K194" i="1"/>
  <c r="K204" i="1" s="1"/>
  <c r="K203" i="1"/>
  <c r="K202" i="1"/>
  <c r="K189" i="1"/>
  <c r="K175" i="1"/>
  <c r="K185" i="1" s="1"/>
  <c r="K184" i="1"/>
  <c r="K183" i="1"/>
  <c r="K170" i="1"/>
  <c r="K156" i="1"/>
  <c r="K166" i="1"/>
  <c r="K165" i="1"/>
  <c r="K164" i="1"/>
  <c r="K151" i="1"/>
  <c r="K137" i="1"/>
  <c r="K147" i="1" s="1"/>
  <c r="K146" i="1"/>
  <c r="K145" i="1"/>
  <c r="K134" i="1"/>
  <c r="K126" i="1"/>
  <c r="K124" i="1"/>
  <c r="K118" i="1"/>
  <c r="K113" i="1"/>
  <c r="K99" i="1"/>
  <c r="K109" i="1" s="1"/>
  <c r="K108" i="1"/>
  <c r="K107" i="1"/>
  <c r="K94" i="1"/>
  <c r="K80" i="1"/>
  <c r="K90" i="1" s="1"/>
  <c r="K89" i="1"/>
  <c r="K88" i="1"/>
  <c r="K75" i="1"/>
  <c r="K61" i="1"/>
  <c r="K71" i="1" s="1"/>
  <c r="K70" i="1"/>
  <c r="K69" i="1"/>
  <c r="K56" i="1"/>
  <c r="K42" i="1"/>
  <c r="K52" i="1" s="1"/>
  <c r="K51" i="1"/>
  <c r="K50" i="1"/>
  <c r="K39" i="1"/>
  <c r="K33" i="1"/>
  <c r="K31" i="1"/>
  <c r="K29" i="1"/>
  <c r="K23" i="1"/>
  <c r="K20" i="1"/>
  <c r="K14" i="1"/>
  <c r="K12" i="1"/>
  <c r="K10" i="1"/>
  <c r="K4" i="1"/>
  <c r="L353" i="1"/>
  <c r="L348" i="1"/>
  <c r="L343" i="1"/>
  <c r="L308" i="1"/>
  <c r="L29" i="1" s="1"/>
  <c r="L303" i="1"/>
  <c r="L289" i="1"/>
  <c r="L299" i="1" s="1"/>
  <c r="L288" i="1"/>
  <c r="L298" i="1" s="1"/>
  <c r="L297" i="1"/>
  <c r="L284" i="1"/>
  <c r="L270" i="1"/>
  <c r="L280" i="1"/>
  <c r="L269" i="1"/>
  <c r="L279" i="1" s="1"/>
  <c r="L278" i="1"/>
  <c r="L265" i="1"/>
  <c r="L251" i="1"/>
  <c r="L261" i="1" s="1"/>
  <c r="L250" i="1"/>
  <c r="L260" i="1" s="1"/>
  <c r="L259" i="1"/>
  <c r="L246" i="1"/>
  <c r="L232" i="1"/>
  <c r="L242" i="1" s="1"/>
  <c r="L231" i="1"/>
  <c r="L241" i="1" s="1"/>
  <c r="L240" i="1"/>
  <c r="L229" i="1"/>
  <c r="L223" i="1"/>
  <c r="L222" i="1"/>
  <c r="L221" i="1"/>
  <c r="L219" i="1"/>
  <c r="L213" i="1"/>
  <c r="L212" i="1"/>
  <c r="L208" i="1"/>
  <c r="L194" i="1"/>
  <c r="L204" i="1" s="1"/>
  <c r="L193" i="1"/>
  <c r="L203" i="1" s="1"/>
  <c r="L202" i="1"/>
  <c r="L189" i="1"/>
  <c r="L175" i="1"/>
  <c r="L185" i="1" s="1"/>
  <c r="L174" i="1"/>
  <c r="L184" i="1" s="1"/>
  <c r="L183" i="1"/>
  <c r="L170" i="1"/>
  <c r="L156" i="1"/>
  <c r="L166" i="1" s="1"/>
  <c r="L155" i="1"/>
  <c r="L165" i="1" s="1"/>
  <c r="L164" i="1"/>
  <c r="L151" i="1"/>
  <c r="L137" i="1"/>
  <c r="L147" i="1" s="1"/>
  <c r="L136" i="1"/>
  <c r="L146" i="1" s="1"/>
  <c r="L145" i="1"/>
  <c r="L134" i="1"/>
  <c r="L128" i="1"/>
  <c r="L127" i="1"/>
  <c r="L126" i="1"/>
  <c r="L124" i="1"/>
  <c r="L118" i="1"/>
  <c r="L117" i="1"/>
  <c r="L113" i="1"/>
  <c r="L99" i="1"/>
  <c r="L109" i="1" s="1"/>
  <c r="L98" i="1"/>
  <c r="L108" i="1" s="1"/>
  <c r="L107" i="1"/>
  <c r="L94" i="1"/>
  <c r="L80" i="1"/>
  <c r="L90" i="1" s="1"/>
  <c r="L79" i="1"/>
  <c r="L89" i="1"/>
  <c r="L88" i="1"/>
  <c r="L75" i="1"/>
  <c r="L61" i="1"/>
  <c r="L71" i="1" s="1"/>
  <c r="L60" i="1"/>
  <c r="L70" i="1" s="1"/>
  <c r="L69" i="1"/>
  <c r="L56" i="1"/>
  <c r="L42" i="1"/>
  <c r="L52" i="1" s="1"/>
  <c r="L41" i="1"/>
  <c r="L51" i="1" s="1"/>
  <c r="L50" i="1"/>
  <c r="L39" i="1"/>
  <c r="L33" i="1"/>
  <c r="L32" i="1"/>
  <c r="L31" i="1"/>
  <c r="L23" i="1"/>
  <c r="L22" i="1"/>
  <c r="L20" i="1"/>
  <c r="L14" i="1"/>
  <c r="L13" i="1"/>
  <c r="L12" i="1"/>
  <c r="L10" i="1"/>
  <c r="L4" i="1"/>
  <c r="L3" i="1"/>
  <c r="M353" i="1"/>
  <c r="M348" i="1"/>
  <c r="M343" i="1"/>
  <c r="M303" i="1"/>
  <c r="M289" i="1"/>
  <c r="M299" i="1" s="1"/>
  <c r="M288" i="1"/>
  <c r="M298" i="1" s="1"/>
  <c r="M297" i="1"/>
  <c r="M284" i="1"/>
  <c r="M270" i="1"/>
  <c r="M280" i="1" s="1"/>
  <c r="M269" i="1"/>
  <c r="M279" i="1" s="1"/>
  <c r="M278" i="1"/>
  <c r="M265" i="1"/>
  <c r="M251" i="1"/>
  <c r="M261" i="1" s="1"/>
  <c r="M250" i="1"/>
  <c r="M260" i="1" s="1"/>
  <c r="M259" i="1"/>
  <c r="M246" i="1"/>
  <c r="M232" i="1"/>
  <c r="M242" i="1" s="1"/>
  <c r="M231" i="1"/>
  <c r="M241" i="1" s="1"/>
  <c r="M240" i="1"/>
  <c r="M229" i="1"/>
  <c r="M223" i="1"/>
  <c r="M222" i="1"/>
  <c r="M221" i="1"/>
  <c r="M219" i="1"/>
  <c r="M213" i="1"/>
  <c r="M212" i="1"/>
  <c r="M208" i="1"/>
  <c r="M194" i="1"/>
  <c r="M204" i="1" s="1"/>
  <c r="M193" i="1"/>
  <c r="M203" i="1" s="1"/>
  <c r="M202" i="1"/>
  <c r="M189" i="1"/>
  <c r="M175" i="1"/>
  <c r="M185" i="1" s="1"/>
  <c r="M174" i="1"/>
  <c r="M184" i="1" s="1"/>
  <c r="M183" i="1"/>
  <c r="M170" i="1"/>
  <c r="M156" i="1"/>
  <c r="M166" i="1" s="1"/>
  <c r="M155" i="1"/>
  <c r="M165" i="1" s="1"/>
  <c r="M164" i="1"/>
  <c r="M151" i="1"/>
  <c r="M137" i="1"/>
  <c r="M147" i="1" s="1"/>
  <c r="M136" i="1"/>
  <c r="M146" i="1" s="1"/>
  <c r="M145" i="1"/>
  <c r="M134" i="1"/>
  <c r="M128" i="1"/>
  <c r="M127" i="1"/>
  <c r="M126" i="1"/>
  <c r="M124" i="1"/>
  <c r="M118" i="1"/>
  <c r="M117" i="1"/>
  <c r="M113" i="1"/>
  <c r="M99" i="1"/>
  <c r="M109" i="1" s="1"/>
  <c r="M107" i="1"/>
  <c r="M94" i="1"/>
  <c r="M80" i="1"/>
  <c r="M90" i="1" s="1"/>
  <c r="M79" i="1"/>
  <c r="M89" i="1" s="1"/>
  <c r="M88" i="1"/>
  <c r="M75" i="1"/>
  <c r="M61" i="1"/>
  <c r="M71" i="1"/>
  <c r="M60" i="1"/>
  <c r="M70" i="1" s="1"/>
  <c r="M69" i="1"/>
  <c r="M56" i="1"/>
  <c r="M42" i="1"/>
  <c r="M52" i="1" s="1"/>
  <c r="M41" i="1"/>
  <c r="M51" i="1" s="1"/>
  <c r="M50" i="1"/>
  <c r="M39" i="1"/>
  <c r="M33" i="1"/>
  <c r="M32" i="1"/>
  <c r="M31" i="1"/>
  <c r="M29" i="1"/>
  <c r="M23" i="1"/>
  <c r="M22" i="1"/>
  <c r="M20" i="1"/>
  <c r="M14" i="1"/>
  <c r="M13" i="1"/>
  <c r="M12" i="1"/>
  <c r="M10" i="1"/>
  <c r="M4" i="1"/>
  <c r="M3" i="1"/>
  <c r="N353" i="1"/>
  <c r="N348" i="1"/>
  <c r="N343" i="1"/>
  <c r="N303" i="1"/>
  <c r="N289" i="1"/>
  <c r="N299" i="1"/>
  <c r="N288" i="1"/>
  <c r="N298" i="1" s="1"/>
  <c r="N297" i="1"/>
  <c r="N284" i="1"/>
  <c r="N270" i="1"/>
  <c r="N280" i="1" s="1"/>
  <c r="N269" i="1"/>
  <c r="N279" i="1" s="1"/>
  <c r="N278" i="1"/>
  <c r="N265" i="1"/>
  <c r="N251" i="1"/>
  <c r="N261" i="1" s="1"/>
  <c r="N250" i="1"/>
  <c r="N260" i="1" s="1"/>
  <c r="N259" i="1"/>
  <c r="N246" i="1"/>
  <c r="N232" i="1"/>
  <c r="N242" i="1" s="1"/>
  <c r="N231" i="1"/>
  <c r="N241" i="1" s="1"/>
  <c r="N240" i="1"/>
  <c r="N229" i="1"/>
  <c r="N223" i="1"/>
  <c r="N222" i="1"/>
  <c r="N221" i="1"/>
  <c r="N219" i="1"/>
  <c r="N213" i="1"/>
  <c r="N212" i="1"/>
  <c r="N208" i="1"/>
  <c r="N194" i="1"/>
  <c r="N204" i="1" s="1"/>
  <c r="N193" i="1"/>
  <c r="N203" i="1" s="1"/>
  <c r="N202" i="1"/>
  <c r="N189" i="1"/>
  <c r="N175" i="1"/>
  <c r="N185" i="1" s="1"/>
  <c r="N174" i="1"/>
  <c r="N184" i="1" s="1"/>
  <c r="N183" i="1"/>
  <c r="N170" i="1"/>
  <c r="N156" i="1"/>
  <c r="N166" i="1" s="1"/>
  <c r="N155" i="1"/>
  <c r="N165" i="1" s="1"/>
  <c r="N164" i="1"/>
  <c r="N151" i="1"/>
  <c r="N137" i="1"/>
  <c r="N147" i="1" s="1"/>
  <c r="N136" i="1"/>
  <c r="N146" i="1" s="1"/>
  <c r="N145" i="1"/>
  <c r="N134" i="1"/>
  <c r="N128" i="1"/>
  <c r="N127" i="1"/>
  <c r="N126" i="1"/>
  <c r="N124" i="1"/>
  <c r="N118" i="1"/>
  <c r="N117" i="1"/>
  <c r="N113" i="1"/>
  <c r="N99" i="1"/>
  <c r="N109" i="1" s="1"/>
  <c r="N98" i="1"/>
  <c r="N108" i="1" s="1"/>
  <c r="N107" i="1"/>
  <c r="N94" i="1"/>
  <c r="N80" i="1"/>
  <c r="N90" i="1" s="1"/>
  <c r="N79" i="1"/>
  <c r="N89" i="1" s="1"/>
  <c r="N88" i="1"/>
  <c r="N75" i="1"/>
  <c r="N61" i="1"/>
  <c r="N71" i="1" s="1"/>
  <c r="N60" i="1"/>
  <c r="N70" i="1" s="1"/>
  <c r="N69" i="1"/>
  <c r="N56" i="1"/>
  <c r="N42" i="1"/>
  <c r="N52" i="1" s="1"/>
  <c r="N41" i="1"/>
  <c r="N51" i="1" s="1"/>
  <c r="N50" i="1"/>
  <c r="N39" i="1"/>
  <c r="N33" i="1"/>
  <c r="N32" i="1"/>
  <c r="N31" i="1"/>
  <c r="N29" i="1"/>
  <c r="N23" i="1"/>
  <c r="N22" i="1"/>
  <c r="N20" i="1"/>
  <c r="N14" i="1"/>
  <c r="N12" i="1"/>
  <c r="N10" i="1"/>
  <c r="N4" i="1"/>
  <c r="N3" i="1"/>
  <c r="O353" i="1"/>
  <c r="O348" i="1"/>
  <c r="O343" i="1"/>
  <c r="O303" i="1"/>
  <c r="O289" i="1"/>
  <c r="O299" i="1" s="1"/>
  <c r="O288" i="1"/>
  <c r="O298" i="1" s="1"/>
  <c r="O297" i="1"/>
  <c r="O284" i="1"/>
  <c r="O270" i="1"/>
  <c r="O280" i="1" s="1"/>
  <c r="O269" i="1"/>
  <c r="O279" i="1" s="1"/>
  <c r="O278" i="1"/>
  <c r="O265" i="1"/>
  <c r="O251" i="1"/>
  <c r="O261" i="1" s="1"/>
  <c r="O250" i="1"/>
  <c r="O260" i="1" s="1"/>
  <c r="O259" i="1"/>
  <c r="O246" i="1"/>
  <c r="O232" i="1"/>
  <c r="O242" i="1" s="1"/>
  <c r="O231" i="1"/>
  <c r="O241" i="1" s="1"/>
  <c r="O240" i="1"/>
  <c r="O229" i="1"/>
  <c r="O223" i="1"/>
  <c r="O222" i="1"/>
  <c r="O221" i="1"/>
  <c r="O219" i="1"/>
  <c r="O213" i="1"/>
  <c r="O212" i="1"/>
  <c r="O208" i="1"/>
  <c r="O194" i="1"/>
  <c r="O204" i="1" s="1"/>
  <c r="O193" i="1"/>
  <c r="O203" i="1" s="1"/>
  <c r="O202" i="1"/>
  <c r="O189" i="1"/>
  <c r="O175" i="1"/>
  <c r="O185" i="1" s="1"/>
  <c r="O174" i="1"/>
  <c r="O184" i="1" s="1"/>
  <c r="O183" i="1"/>
  <c r="O170" i="1"/>
  <c r="O156" i="1"/>
  <c r="O166" i="1"/>
  <c r="O155" i="1"/>
  <c r="O165" i="1" s="1"/>
  <c r="O164" i="1"/>
  <c r="O151" i="1"/>
  <c r="O137" i="1"/>
  <c r="O147" i="1" s="1"/>
  <c r="O136" i="1"/>
  <c r="O146" i="1" s="1"/>
  <c r="O145" i="1"/>
  <c r="O134" i="1"/>
  <c r="O128" i="1"/>
  <c r="O127" i="1"/>
  <c r="O126" i="1"/>
  <c r="O124" i="1"/>
  <c r="O118" i="1"/>
  <c r="O117" i="1"/>
  <c r="O113" i="1"/>
  <c r="O99" i="1"/>
  <c r="O109" i="1"/>
  <c r="O98" i="1"/>
  <c r="O108" i="1" s="1"/>
  <c r="O107" i="1"/>
  <c r="O94" i="1"/>
  <c r="O80" i="1"/>
  <c r="O90" i="1" s="1"/>
  <c r="O79" i="1"/>
  <c r="O89" i="1" s="1"/>
  <c r="O88" i="1"/>
  <c r="O75" i="1"/>
  <c r="O61" i="1"/>
  <c r="O71" i="1" s="1"/>
  <c r="O60" i="1"/>
  <c r="O70" i="1" s="1"/>
  <c r="O69" i="1"/>
  <c r="O56" i="1"/>
  <c r="O42" i="1"/>
  <c r="O52" i="1" s="1"/>
  <c r="O41" i="1"/>
  <c r="O51" i="1" s="1"/>
  <c r="O50" i="1"/>
  <c r="O39" i="1"/>
  <c r="O33" i="1"/>
  <c r="O32" i="1"/>
  <c r="O31" i="1"/>
  <c r="O29" i="1"/>
  <c r="O23" i="1"/>
  <c r="O22" i="1"/>
  <c r="O20" i="1"/>
  <c r="O14" i="1"/>
  <c r="O13" i="1"/>
  <c r="O12" i="1"/>
  <c r="O10" i="1"/>
  <c r="O4" i="1"/>
  <c r="O3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D297" i="1"/>
  <c r="AQ278" i="1"/>
  <c r="AP278" i="1"/>
  <c r="AO278" i="1"/>
  <c r="AN278" i="1"/>
  <c r="AM278" i="1"/>
  <c r="AL278" i="1"/>
  <c r="AK278" i="1"/>
  <c r="AJ278" i="1"/>
  <c r="AI278" i="1"/>
  <c r="AH278" i="1"/>
  <c r="AG278" i="1"/>
  <c r="AF278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D278" i="1"/>
  <c r="AQ259" i="1"/>
  <c r="AP259" i="1"/>
  <c r="AO259" i="1"/>
  <c r="AN259" i="1"/>
  <c r="AM259" i="1"/>
  <c r="AL259" i="1"/>
  <c r="AK259" i="1"/>
  <c r="AJ259" i="1"/>
  <c r="AI259" i="1"/>
  <c r="AH259" i="1"/>
  <c r="AG259" i="1"/>
  <c r="AF259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D259" i="1"/>
  <c r="AQ240" i="1"/>
  <c r="AP240" i="1"/>
  <c r="AO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D240" i="1"/>
  <c r="AQ221" i="1"/>
  <c r="AP221" i="1"/>
  <c r="AO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D221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D202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D183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D164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D145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D126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D107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D88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D69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D50" i="1"/>
  <c r="D31" i="1"/>
  <c r="D12" i="1"/>
  <c r="P353" i="1"/>
  <c r="P348" i="1"/>
  <c r="P343" i="1"/>
  <c r="P303" i="1"/>
  <c r="P289" i="1"/>
  <c r="P299" i="1" s="1"/>
  <c r="P288" i="1"/>
  <c r="P298" i="1" s="1"/>
  <c r="P284" i="1"/>
  <c r="P270" i="1"/>
  <c r="P280" i="1" s="1"/>
  <c r="P269" i="1"/>
  <c r="P279" i="1" s="1"/>
  <c r="P265" i="1"/>
  <c r="P251" i="1"/>
  <c r="P261" i="1" s="1"/>
  <c r="P250" i="1"/>
  <c r="P260" i="1" s="1"/>
  <c r="P246" i="1"/>
  <c r="P232" i="1"/>
  <c r="P242" i="1" s="1"/>
  <c r="P231" i="1"/>
  <c r="P241" i="1" s="1"/>
  <c r="P229" i="1"/>
  <c r="P223" i="1"/>
  <c r="P222" i="1"/>
  <c r="P219" i="1"/>
  <c r="P213" i="1"/>
  <c r="P212" i="1"/>
  <c r="P208" i="1"/>
  <c r="P194" i="1"/>
  <c r="P204" i="1" s="1"/>
  <c r="P193" i="1"/>
  <c r="P203" i="1" s="1"/>
  <c r="P189" i="1"/>
  <c r="P175" i="1"/>
  <c r="P185" i="1" s="1"/>
  <c r="P174" i="1"/>
  <c r="P184" i="1" s="1"/>
  <c r="P170" i="1"/>
  <c r="P156" i="1"/>
  <c r="P166" i="1" s="1"/>
  <c r="P155" i="1"/>
  <c r="P165" i="1" s="1"/>
  <c r="P151" i="1"/>
  <c r="P137" i="1"/>
  <c r="P147" i="1" s="1"/>
  <c r="P136" i="1"/>
  <c r="P146" i="1" s="1"/>
  <c r="P134" i="1"/>
  <c r="P128" i="1"/>
  <c r="P127" i="1"/>
  <c r="P124" i="1"/>
  <c r="P118" i="1"/>
  <c r="P117" i="1"/>
  <c r="P113" i="1"/>
  <c r="P99" i="1"/>
  <c r="P109" i="1" s="1"/>
  <c r="P98" i="1"/>
  <c r="P108" i="1" s="1"/>
  <c r="P94" i="1"/>
  <c r="P80" i="1"/>
  <c r="P90" i="1" s="1"/>
  <c r="P79" i="1"/>
  <c r="P89" i="1" s="1"/>
  <c r="P75" i="1"/>
  <c r="P61" i="1"/>
  <c r="P71" i="1" s="1"/>
  <c r="P60" i="1"/>
  <c r="P70" i="1" s="1"/>
  <c r="P56" i="1"/>
  <c r="P42" i="1"/>
  <c r="P52" i="1" s="1"/>
  <c r="P41" i="1"/>
  <c r="P51" i="1" s="1"/>
  <c r="P39" i="1"/>
  <c r="P33" i="1"/>
  <c r="P32" i="1"/>
  <c r="P29" i="1"/>
  <c r="P23" i="1"/>
  <c r="P22" i="1"/>
  <c r="P20" i="1"/>
  <c r="P14" i="1"/>
  <c r="P13" i="1"/>
  <c r="P10" i="1"/>
  <c r="P4" i="1"/>
  <c r="P3" i="1"/>
  <c r="Q353" i="1"/>
  <c r="Q348" i="1"/>
  <c r="Q343" i="1"/>
  <c r="Q303" i="1"/>
  <c r="Q289" i="1"/>
  <c r="Q299" i="1" s="1"/>
  <c r="Q288" i="1"/>
  <c r="Q298" i="1" s="1"/>
  <c r="Q284" i="1"/>
  <c r="Q270" i="1"/>
  <c r="Q280" i="1" s="1"/>
  <c r="Q269" i="1"/>
  <c r="Q279" i="1" s="1"/>
  <c r="Q265" i="1"/>
  <c r="Q251" i="1"/>
  <c r="Q261" i="1" s="1"/>
  <c r="Q250" i="1"/>
  <c r="Q260" i="1" s="1"/>
  <c r="Q246" i="1"/>
  <c r="Q232" i="1"/>
  <c r="Q242" i="1" s="1"/>
  <c r="Q231" i="1"/>
  <c r="Q241" i="1" s="1"/>
  <c r="Q229" i="1"/>
  <c r="Q223" i="1"/>
  <c r="Q222" i="1"/>
  <c r="Q219" i="1"/>
  <c r="Q213" i="1"/>
  <c r="Q212" i="1"/>
  <c r="Q208" i="1"/>
  <c r="Q194" i="1"/>
  <c r="Q204" i="1" s="1"/>
  <c r="Q193" i="1"/>
  <c r="Q203" i="1" s="1"/>
  <c r="Q189" i="1"/>
  <c r="Q175" i="1"/>
  <c r="Q185" i="1" s="1"/>
  <c r="Q174" i="1"/>
  <c r="Q184" i="1"/>
  <c r="Q170" i="1"/>
  <c r="Q156" i="1"/>
  <c r="Q166" i="1" s="1"/>
  <c r="Q155" i="1"/>
  <c r="Q165" i="1" s="1"/>
  <c r="Q151" i="1"/>
  <c r="Q137" i="1"/>
  <c r="Q147" i="1" s="1"/>
  <c r="Q136" i="1"/>
  <c r="Q146" i="1" s="1"/>
  <c r="Q134" i="1"/>
  <c r="Q128" i="1"/>
  <c r="Q127" i="1"/>
  <c r="Q124" i="1"/>
  <c r="Q118" i="1"/>
  <c r="Q117" i="1"/>
  <c r="Q113" i="1"/>
  <c r="Q99" i="1"/>
  <c r="Q109" i="1" s="1"/>
  <c r="Q98" i="1"/>
  <c r="Q108" i="1" s="1"/>
  <c r="Q94" i="1"/>
  <c r="Q80" i="1"/>
  <c r="Q90" i="1" s="1"/>
  <c r="Q79" i="1"/>
  <c r="Q89" i="1" s="1"/>
  <c r="Q75" i="1"/>
  <c r="Q61" i="1"/>
  <c r="Q71" i="1" s="1"/>
  <c r="Q60" i="1"/>
  <c r="Q70" i="1" s="1"/>
  <c r="Q56" i="1"/>
  <c r="Q42" i="1"/>
  <c r="Q52" i="1" s="1"/>
  <c r="Q41" i="1"/>
  <c r="Q51" i="1" s="1"/>
  <c r="Q39" i="1"/>
  <c r="Q33" i="1"/>
  <c r="Q32" i="1"/>
  <c r="Q29" i="1"/>
  <c r="Q23" i="1"/>
  <c r="Q22" i="1"/>
  <c r="Q20" i="1"/>
  <c r="Q14" i="1"/>
  <c r="Q13" i="1"/>
  <c r="Q10" i="1"/>
  <c r="Q4" i="1"/>
  <c r="Q3" i="1"/>
  <c r="D353" i="1"/>
  <c r="D348" i="1"/>
  <c r="D343" i="1"/>
  <c r="D303" i="1"/>
  <c r="D299" i="1"/>
  <c r="D298" i="1"/>
  <c r="D284" i="1"/>
  <c r="D280" i="1"/>
  <c r="D279" i="1"/>
  <c r="D265" i="1"/>
  <c r="D261" i="1"/>
  <c r="D260" i="1"/>
  <c r="D246" i="1"/>
  <c r="D242" i="1"/>
  <c r="D241" i="1"/>
  <c r="D229" i="1"/>
  <c r="D219" i="1"/>
  <c r="D208" i="1"/>
  <c r="D204" i="1"/>
  <c r="D203" i="1"/>
  <c r="D189" i="1"/>
  <c r="D185" i="1"/>
  <c r="D184" i="1"/>
  <c r="D170" i="1"/>
  <c r="D166" i="1"/>
  <c r="D165" i="1"/>
  <c r="D151" i="1"/>
  <c r="D147" i="1"/>
  <c r="D146" i="1"/>
  <c r="D134" i="1"/>
  <c r="D124" i="1"/>
  <c r="D113" i="1"/>
  <c r="D109" i="1"/>
  <c r="D108" i="1"/>
  <c r="D94" i="1"/>
  <c r="D90" i="1"/>
  <c r="D89" i="1"/>
  <c r="D75" i="1"/>
  <c r="D71" i="1"/>
  <c r="D70" i="1"/>
  <c r="D39" i="1"/>
  <c r="D29" i="1"/>
  <c r="D20" i="1"/>
  <c r="D10" i="1"/>
  <c r="AQ229" i="1"/>
  <c r="AP229" i="1"/>
  <c r="AO229" i="1"/>
  <c r="AN229" i="1"/>
  <c r="AM229" i="1"/>
  <c r="AL229" i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2" i="1"/>
  <c r="S33" i="1"/>
  <c r="R39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AQ20" i="1"/>
  <c r="AP20" i="1"/>
  <c r="AO20" i="1"/>
  <c r="AN20" i="1"/>
  <c r="AM20" i="1"/>
  <c r="AL20" i="1"/>
  <c r="AK20" i="1"/>
  <c r="AJ20" i="1"/>
  <c r="AI20" i="1"/>
  <c r="AH20" i="1"/>
  <c r="AG20" i="1"/>
  <c r="R79" i="1"/>
  <c r="R89" i="1" s="1"/>
  <c r="S79" i="1"/>
  <c r="S89" i="1" s="1"/>
  <c r="T79" i="1"/>
  <c r="T89" i="1"/>
  <c r="U79" i="1"/>
  <c r="U89" i="1" s="1"/>
  <c r="V79" i="1"/>
  <c r="V89" i="1" s="1"/>
  <c r="W79" i="1"/>
  <c r="W89" i="1" s="1"/>
  <c r="X79" i="1"/>
  <c r="X89" i="1" s="1"/>
  <c r="Y79" i="1"/>
  <c r="Y89" i="1" s="1"/>
  <c r="Z79" i="1"/>
  <c r="Z89" i="1" s="1"/>
  <c r="AA79" i="1"/>
  <c r="AA89" i="1" s="1"/>
  <c r="AB79" i="1"/>
  <c r="AB89" i="1" s="1"/>
  <c r="AC79" i="1"/>
  <c r="AC89" i="1" s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R288" i="1"/>
  <c r="R270" i="1"/>
  <c r="R289" i="1"/>
  <c r="R299" i="1" s="1"/>
  <c r="R269" i="1"/>
  <c r="R279" i="1" s="1"/>
  <c r="R251" i="1"/>
  <c r="R261" i="1" s="1"/>
  <c r="R250" i="1"/>
  <c r="R260" i="1" s="1"/>
  <c r="R232" i="1"/>
  <c r="R242" i="1" s="1"/>
  <c r="R231" i="1"/>
  <c r="R241" i="1" s="1"/>
  <c r="R223" i="1"/>
  <c r="R222" i="1"/>
  <c r="R213" i="1"/>
  <c r="R212" i="1"/>
  <c r="R194" i="1"/>
  <c r="R204" i="1" s="1"/>
  <c r="R193" i="1"/>
  <c r="R203" i="1" s="1"/>
  <c r="R175" i="1"/>
  <c r="R185" i="1" s="1"/>
  <c r="R174" i="1"/>
  <c r="R184" i="1" s="1"/>
  <c r="R156" i="1"/>
  <c r="R166" i="1" s="1"/>
  <c r="R155" i="1"/>
  <c r="R165" i="1" s="1"/>
  <c r="R137" i="1"/>
  <c r="R147" i="1" s="1"/>
  <c r="R136" i="1"/>
  <c r="R146" i="1" s="1"/>
  <c r="R128" i="1"/>
  <c r="R127" i="1"/>
  <c r="R118" i="1"/>
  <c r="R117" i="1"/>
  <c r="R99" i="1"/>
  <c r="R98" i="1"/>
  <c r="R108" i="1" s="1"/>
  <c r="R80" i="1"/>
  <c r="R90" i="1" s="1"/>
  <c r="R61" i="1"/>
  <c r="R71" i="1" s="1"/>
  <c r="R60" i="1"/>
  <c r="R70" i="1" s="1"/>
  <c r="R42" i="1"/>
  <c r="R52" i="1" s="1"/>
  <c r="R41" i="1"/>
  <c r="R23" i="1"/>
  <c r="R22" i="1"/>
  <c r="R353" i="1"/>
  <c r="R348" i="1"/>
  <c r="R343" i="1"/>
  <c r="S289" i="1"/>
  <c r="S299" i="1" s="1"/>
  <c r="S288" i="1"/>
  <c r="S298" i="1" s="1"/>
  <c r="S270" i="1"/>
  <c r="S280" i="1" s="1"/>
  <c r="S269" i="1"/>
  <c r="S251" i="1"/>
  <c r="S261" i="1" s="1"/>
  <c r="S250" i="1"/>
  <c r="S260" i="1" s="1"/>
  <c r="S232" i="1"/>
  <c r="S242" i="1" s="1"/>
  <c r="S231" i="1"/>
  <c r="S241" i="1" s="1"/>
  <c r="S213" i="1"/>
  <c r="S212" i="1"/>
  <c r="S194" i="1"/>
  <c r="S204" i="1" s="1"/>
  <c r="S193" i="1"/>
  <c r="S203" i="1" s="1"/>
  <c r="S175" i="1"/>
  <c r="S185" i="1" s="1"/>
  <c r="S174" i="1"/>
  <c r="S184" i="1" s="1"/>
  <c r="S156" i="1"/>
  <c r="S166" i="1" s="1"/>
  <c r="S155" i="1"/>
  <c r="S165" i="1" s="1"/>
  <c r="S137" i="1"/>
  <c r="S147" i="1" s="1"/>
  <c r="S136" i="1"/>
  <c r="S146" i="1" s="1"/>
  <c r="S128" i="1"/>
  <c r="S127" i="1"/>
  <c r="S118" i="1"/>
  <c r="S117" i="1"/>
  <c r="S99" i="1"/>
  <c r="S109" i="1" s="1"/>
  <c r="S98" i="1"/>
  <c r="S108" i="1" s="1"/>
  <c r="S80" i="1"/>
  <c r="S90" i="1" s="1"/>
  <c r="S61" i="1"/>
  <c r="S60" i="1"/>
  <c r="S70" i="1" s="1"/>
  <c r="S42" i="1"/>
  <c r="S41" i="1"/>
  <c r="S23" i="1"/>
  <c r="S22" i="1"/>
  <c r="S4" i="1"/>
  <c r="S3" i="1"/>
  <c r="S353" i="1"/>
  <c r="S348" i="1"/>
  <c r="S343" i="1"/>
  <c r="T289" i="1"/>
  <c r="T299" i="1" s="1"/>
  <c r="T288" i="1"/>
  <c r="T298" i="1" s="1"/>
  <c r="T270" i="1"/>
  <c r="T280" i="1" s="1"/>
  <c r="T269" i="1"/>
  <c r="T279" i="1" s="1"/>
  <c r="T251" i="1"/>
  <c r="T261" i="1" s="1"/>
  <c r="T250" i="1"/>
  <c r="T260" i="1" s="1"/>
  <c r="T232" i="1"/>
  <c r="T231" i="1"/>
  <c r="T241" i="1" s="1"/>
  <c r="T223" i="1"/>
  <c r="T222" i="1"/>
  <c r="T213" i="1"/>
  <c r="T212" i="1"/>
  <c r="T194" i="1"/>
  <c r="T204" i="1" s="1"/>
  <c r="T193" i="1"/>
  <c r="T203" i="1" s="1"/>
  <c r="T175" i="1"/>
  <c r="T185" i="1" s="1"/>
  <c r="T174" i="1"/>
  <c r="T184" i="1" s="1"/>
  <c r="T156" i="1"/>
  <c r="T166" i="1" s="1"/>
  <c r="T155" i="1"/>
  <c r="T165" i="1" s="1"/>
  <c r="T137" i="1"/>
  <c r="T147" i="1" s="1"/>
  <c r="T136" i="1"/>
  <c r="T146" i="1" s="1"/>
  <c r="T128" i="1"/>
  <c r="T127" i="1"/>
  <c r="T118" i="1"/>
  <c r="T117" i="1"/>
  <c r="T99" i="1"/>
  <c r="T109" i="1" s="1"/>
  <c r="T98" i="1"/>
  <c r="T108" i="1" s="1"/>
  <c r="T80" i="1"/>
  <c r="T90" i="1" s="1"/>
  <c r="T61" i="1"/>
  <c r="T71" i="1" s="1"/>
  <c r="T60" i="1"/>
  <c r="T70" i="1" s="1"/>
  <c r="T42" i="1"/>
  <c r="T41" i="1"/>
  <c r="T23" i="1"/>
  <c r="T22" i="1"/>
  <c r="T4" i="1"/>
  <c r="T3" i="1"/>
  <c r="T353" i="1"/>
  <c r="T348" i="1"/>
  <c r="T343" i="1"/>
  <c r="U289" i="1"/>
  <c r="U299" i="1" s="1"/>
  <c r="U288" i="1"/>
  <c r="U298" i="1" s="1"/>
  <c r="U270" i="1"/>
  <c r="U280" i="1" s="1"/>
  <c r="U269" i="1"/>
  <c r="U279" i="1" s="1"/>
  <c r="U251" i="1"/>
  <c r="U261" i="1" s="1"/>
  <c r="U250" i="1"/>
  <c r="U260" i="1" s="1"/>
  <c r="U232" i="1"/>
  <c r="U242" i="1" s="1"/>
  <c r="U231" i="1"/>
  <c r="U241" i="1" s="1"/>
  <c r="U223" i="1"/>
  <c r="U222" i="1"/>
  <c r="U213" i="1"/>
  <c r="U212" i="1"/>
  <c r="U194" i="1"/>
  <c r="U204" i="1" s="1"/>
  <c r="U193" i="1"/>
  <c r="U203" i="1" s="1"/>
  <c r="U175" i="1"/>
  <c r="U185" i="1" s="1"/>
  <c r="U174" i="1"/>
  <c r="U156" i="1"/>
  <c r="U166" i="1" s="1"/>
  <c r="U155" i="1"/>
  <c r="U165" i="1" s="1"/>
  <c r="U137" i="1"/>
  <c r="U147" i="1" s="1"/>
  <c r="U136" i="1"/>
  <c r="U146" i="1" s="1"/>
  <c r="U128" i="1"/>
  <c r="U127" i="1"/>
  <c r="U118" i="1"/>
  <c r="U117" i="1"/>
  <c r="U99" i="1"/>
  <c r="U109" i="1" s="1"/>
  <c r="U98" i="1"/>
  <c r="U108" i="1" s="1"/>
  <c r="U80" i="1"/>
  <c r="U90" i="1" s="1"/>
  <c r="U61" i="1"/>
  <c r="U71" i="1" s="1"/>
  <c r="U60" i="1"/>
  <c r="U70" i="1" s="1"/>
  <c r="U42" i="1"/>
  <c r="U52" i="1" s="1"/>
  <c r="U41" i="1"/>
  <c r="U51" i="1" s="1"/>
  <c r="U32" i="1"/>
  <c r="U23" i="1"/>
  <c r="U22" i="1"/>
  <c r="U4" i="1"/>
  <c r="U3" i="1"/>
  <c r="U353" i="1"/>
  <c r="U348" i="1"/>
  <c r="U343" i="1"/>
  <c r="V289" i="1"/>
  <c r="V288" i="1"/>
  <c r="V270" i="1"/>
  <c r="V280" i="1" s="1"/>
  <c r="V269" i="1"/>
  <c r="V279" i="1" s="1"/>
  <c r="V251" i="1"/>
  <c r="V261" i="1" s="1"/>
  <c r="V250" i="1"/>
  <c r="V260" i="1" s="1"/>
  <c r="V232" i="1"/>
  <c r="V242" i="1" s="1"/>
  <c r="V231" i="1"/>
  <c r="V241" i="1" s="1"/>
  <c r="V223" i="1"/>
  <c r="V222" i="1"/>
  <c r="V213" i="1"/>
  <c r="V212" i="1"/>
  <c r="V194" i="1"/>
  <c r="V204" i="1" s="1"/>
  <c r="V193" i="1"/>
  <c r="V203" i="1" s="1"/>
  <c r="V175" i="1"/>
  <c r="V185" i="1" s="1"/>
  <c r="V174" i="1"/>
  <c r="V184" i="1" s="1"/>
  <c r="V156" i="1"/>
  <c r="V166" i="1" s="1"/>
  <c r="V155" i="1"/>
  <c r="V137" i="1"/>
  <c r="V147" i="1" s="1"/>
  <c r="V136" i="1"/>
  <c r="V146" i="1" s="1"/>
  <c r="V128" i="1"/>
  <c r="V127" i="1"/>
  <c r="V118" i="1"/>
  <c r="V117" i="1"/>
  <c r="V99" i="1"/>
  <c r="V109" i="1" s="1"/>
  <c r="V98" i="1"/>
  <c r="V108" i="1" s="1"/>
  <c r="V80" i="1"/>
  <c r="V90" i="1" s="1"/>
  <c r="V61" i="1"/>
  <c r="V71" i="1" s="1"/>
  <c r="V60" i="1"/>
  <c r="V70" i="1" s="1"/>
  <c r="V42" i="1"/>
  <c r="V41" i="1"/>
  <c r="V51" i="1" s="1"/>
  <c r="V23" i="1"/>
  <c r="V22" i="1"/>
  <c r="V4" i="1"/>
  <c r="V3" i="1"/>
  <c r="V353" i="1"/>
  <c r="V348" i="1"/>
  <c r="V343" i="1"/>
  <c r="W289" i="1"/>
  <c r="W299" i="1" s="1"/>
  <c r="W288" i="1"/>
  <c r="W298" i="1" s="1"/>
  <c r="W270" i="1"/>
  <c r="W269" i="1"/>
  <c r="W279" i="1" s="1"/>
  <c r="W251" i="1"/>
  <c r="W261" i="1" s="1"/>
  <c r="W250" i="1"/>
  <c r="W260" i="1" s="1"/>
  <c r="W232" i="1"/>
  <c r="W242" i="1" s="1"/>
  <c r="W231" i="1"/>
  <c r="W241" i="1" s="1"/>
  <c r="W213" i="1"/>
  <c r="W212" i="1"/>
  <c r="W194" i="1"/>
  <c r="W204" i="1" s="1"/>
  <c r="W193" i="1"/>
  <c r="W203" i="1" s="1"/>
  <c r="W175" i="1"/>
  <c r="W185" i="1" s="1"/>
  <c r="W174" i="1"/>
  <c r="W184" i="1" s="1"/>
  <c r="W156" i="1"/>
  <c r="W166" i="1" s="1"/>
  <c r="W155" i="1"/>
  <c r="W165" i="1" s="1"/>
  <c r="W137" i="1"/>
  <c r="W147" i="1" s="1"/>
  <c r="W136" i="1"/>
  <c r="W146" i="1" s="1"/>
  <c r="W128" i="1"/>
  <c r="W127" i="1"/>
  <c r="W118" i="1"/>
  <c r="W117" i="1"/>
  <c r="W99" i="1"/>
  <c r="W98" i="1"/>
  <c r="W108" i="1" s="1"/>
  <c r="W80" i="1"/>
  <c r="W90" i="1" s="1"/>
  <c r="W61" i="1"/>
  <c r="W71" i="1" s="1"/>
  <c r="W60" i="1"/>
  <c r="W42" i="1"/>
  <c r="W52" i="1" s="1"/>
  <c r="W41" i="1"/>
  <c r="W23" i="1"/>
  <c r="W22" i="1"/>
  <c r="W4" i="1"/>
  <c r="W3" i="1"/>
  <c r="W353" i="1"/>
  <c r="W348" i="1"/>
  <c r="W343" i="1"/>
  <c r="X289" i="1"/>
  <c r="X299" i="1" s="1"/>
  <c r="X270" i="1"/>
  <c r="X280" i="1" s="1"/>
  <c r="X269" i="1"/>
  <c r="X279" i="1" s="1"/>
  <c r="X251" i="1"/>
  <c r="X261" i="1" s="1"/>
  <c r="X250" i="1"/>
  <c r="X232" i="1"/>
  <c r="X242" i="1" s="1"/>
  <c r="X231" i="1"/>
  <c r="X241" i="1" s="1"/>
  <c r="X223" i="1"/>
  <c r="X213" i="1"/>
  <c r="X194" i="1"/>
  <c r="X204" i="1" s="1"/>
  <c r="X193" i="1"/>
  <c r="X203" i="1" s="1"/>
  <c r="X175" i="1"/>
  <c r="X185" i="1" s="1"/>
  <c r="X174" i="1"/>
  <c r="X184" i="1" s="1"/>
  <c r="X156" i="1"/>
  <c r="X166" i="1" s="1"/>
  <c r="X155" i="1"/>
  <c r="X165" i="1" s="1"/>
  <c r="X137" i="1"/>
  <c r="X147" i="1" s="1"/>
  <c r="X128" i="1"/>
  <c r="X127" i="1"/>
  <c r="X118" i="1"/>
  <c r="X117" i="1"/>
  <c r="X99" i="1"/>
  <c r="X98" i="1"/>
  <c r="X108" i="1" s="1"/>
  <c r="X80" i="1"/>
  <c r="X90" i="1" s="1"/>
  <c r="X61" i="1"/>
  <c r="X71" i="1" s="1"/>
  <c r="X60" i="1"/>
  <c r="X70" i="1" s="1"/>
  <c r="X42" i="1"/>
  <c r="X52" i="1" s="1"/>
  <c r="X41" i="1"/>
  <c r="X51" i="1" s="1"/>
  <c r="X23" i="1"/>
  <c r="X22" i="1"/>
  <c r="X4" i="1"/>
  <c r="X3" i="1"/>
  <c r="X353" i="1"/>
  <c r="X348" i="1"/>
  <c r="X343" i="1"/>
  <c r="Y289" i="1"/>
  <c r="Y288" i="1"/>
  <c r="Y298" i="1" s="1"/>
  <c r="Y270" i="1"/>
  <c r="Y280" i="1" s="1"/>
  <c r="Y269" i="1"/>
  <c r="Y279" i="1" s="1"/>
  <c r="Y251" i="1"/>
  <c r="Y261" i="1" s="1"/>
  <c r="Y250" i="1"/>
  <c r="Y260" i="1" s="1"/>
  <c r="Y232" i="1"/>
  <c r="Y242" i="1" s="1"/>
  <c r="Y231" i="1"/>
  <c r="Y241" i="1" s="1"/>
  <c r="Y223" i="1"/>
  <c r="Y222" i="1"/>
  <c r="Y213" i="1"/>
  <c r="Y212" i="1"/>
  <c r="Y194" i="1"/>
  <c r="Y204" i="1" s="1"/>
  <c r="Y193" i="1"/>
  <c r="Y203" i="1" s="1"/>
  <c r="Y175" i="1"/>
  <c r="Y185" i="1" s="1"/>
  <c r="Y174" i="1"/>
  <c r="Y184" i="1" s="1"/>
  <c r="Y156" i="1"/>
  <c r="Y166" i="1" s="1"/>
  <c r="Y155" i="1"/>
  <c r="Y165" i="1" s="1"/>
  <c r="Y137" i="1"/>
  <c r="Y147" i="1" s="1"/>
  <c r="Y136" i="1"/>
  <c r="Y146" i="1" s="1"/>
  <c r="Y128" i="1"/>
  <c r="Y127" i="1"/>
  <c r="Y124" i="1"/>
  <c r="X124" i="1"/>
  <c r="W124" i="1"/>
  <c r="V124" i="1"/>
  <c r="U124" i="1"/>
  <c r="T124" i="1"/>
  <c r="S124" i="1"/>
  <c r="R124" i="1"/>
  <c r="Y118" i="1"/>
  <c r="Y117" i="1"/>
  <c r="Y303" i="1"/>
  <c r="X303" i="1"/>
  <c r="W303" i="1"/>
  <c r="V303" i="1"/>
  <c r="U303" i="1"/>
  <c r="T303" i="1"/>
  <c r="S303" i="1"/>
  <c r="R303" i="1"/>
  <c r="Y299" i="1"/>
  <c r="V299" i="1"/>
  <c r="V298" i="1"/>
  <c r="R298" i="1"/>
  <c r="Y284" i="1"/>
  <c r="X284" i="1"/>
  <c r="W284" i="1"/>
  <c r="V284" i="1"/>
  <c r="U284" i="1"/>
  <c r="T284" i="1"/>
  <c r="S284" i="1"/>
  <c r="R284" i="1"/>
  <c r="W280" i="1"/>
  <c r="R280" i="1"/>
  <c r="S279" i="1"/>
  <c r="Y265" i="1"/>
  <c r="X265" i="1"/>
  <c r="W265" i="1"/>
  <c r="V265" i="1"/>
  <c r="U265" i="1"/>
  <c r="T265" i="1"/>
  <c r="S265" i="1"/>
  <c r="R265" i="1"/>
  <c r="X260" i="1"/>
  <c r="Y246" i="1"/>
  <c r="X246" i="1"/>
  <c r="W246" i="1"/>
  <c r="V246" i="1"/>
  <c r="U246" i="1"/>
  <c r="T246" i="1"/>
  <c r="S246" i="1"/>
  <c r="R246" i="1"/>
  <c r="T242" i="1"/>
  <c r="Y219" i="1"/>
  <c r="X219" i="1"/>
  <c r="W219" i="1"/>
  <c r="V219" i="1"/>
  <c r="U219" i="1"/>
  <c r="T219" i="1"/>
  <c r="S219" i="1"/>
  <c r="R219" i="1"/>
  <c r="Y208" i="1"/>
  <c r="X208" i="1"/>
  <c r="W208" i="1"/>
  <c r="V208" i="1"/>
  <c r="U208" i="1"/>
  <c r="T208" i="1"/>
  <c r="S208" i="1"/>
  <c r="R208" i="1"/>
  <c r="Y189" i="1"/>
  <c r="X189" i="1"/>
  <c r="W189" i="1"/>
  <c r="V189" i="1"/>
  <c r="U189" i="1"/>
  <c r="T189" i="1"/>
  <c r="S189" i="1"/>
  <c r="R189" i="1"/>
  <c r="U184" i="1"/>
  <c r="Y170" i="1"/>
  <c r="X170" i="1"/>
  <c r="W170" i="1"/>
  <c r="V170" i="1"/>
  <c r="U170" i="1"/>
  <c r="T170" i="1"/>
  <c r="S170" i="1"/>
  <c r="R170" i="1"/>
  <c r="V165" i="1"/>
  <c r="Y151" i="1"/>
  <c r="X151" i="1"/>
  <c r="W151" i="1"/>
  <c r="V151" i="1"/>
  <c r="U151" i="1"/>
  <c r="T151" i="1"/>
  <c r="S151" i="1"/>
  <c r="R151" i="1"/>
  <c r="T113" i="1"/>
  <c r="S113" i="1"/>
  <c r="R113" i="1"/>
  <c r="R109" i="1"/>
  <c r="W113" i="1"/>
  <c r="V113" i="1"/>
  <c r="U113" i="1"/>
  <c r="W109" i="1"/>
  <c r="Y113" i="1"/>
  <c r="X113" i="1"/>
  <c r="Y99" i="1"/>
  <c r="Y109" i="1" s="1"/>
  <c r="X109" i="1"/>
  <c r="Y98" i="1"/>
  <c r="Y108" i="1" s="1"/>
  <c r="R94" i="1"/>
  <c r="U94" i="1"/>
  <c r="T94" i="1"/>
  <c r="S94" i="1"/>
  <c r="W94" i="1"/>
  <c r="V94" i="1"/>
  <c r="X94" i="1"/>
  <c r="Y94" i="1"/>
  <c r="Y80" i="1"/>
  <c r="Y90" i="1" s="1"/>
  <c r="R75" i="1"/>
  <c r="S75" i="1"/>
  <c r="S71" i="1"/>
  <c r="T75" i="1"/>
  <c r="U75" i="1"/>
  <c r="V75" i="1"/>
  <c r="W75" i="1"/>
  <c r="W70" i="1"/>
  <c r="X75" i="1"/>
  <c r="Y75" i="1"/>
  <c r="Y61" i="1"/>
  <c r="Y71" i="1" s="1"/>
  <c r="Y60" i="1"/>
  <c r="Y70" i="1"/>
  <c r="R56" i="1"/>
  <c r="R51" i="1"/>
  <c r="S56" i="1"/>
  <c r="S52" i="1"/>
  <c r="S51" i="1"/>
  <c r="T56" i="1"/>
  <c r="T52" i="1"/>
  <c r="T51" i="1"/>
  <c r="U56" i="1"/>
  <c r="V56" i="1"/>
  <c r="V52" i="1"/>
  <c r="W56" i="1"/>
  <c r="W51" i="1"/>
  <c r="X56" i="1"/>
  <c r="Y56" i="1"/>
  <c r="Y42" i="1"/>
  <c r="Y52" i="1" s="1"/>
  <c r="Y41" i="1"/>
  <c r="Y51" i="1" s="1"/>
  <c r="Y29" i="1"/>
  <c r="X29" i="1"/>
  <c r="W29" i="1"/>
  <c r="V29" i="1"/>
  <c r="U29" i="1"/>
  <c r="T29" i="1"/>
  <c r="S29" i="1"/>
  <c r="R29" i="1"/>
  <c r="Y10" i="1"/>
  <c r="X10" i="1"/>
  <c r="W10" i="1"/>
  <c r="V10" i="1"/>
  <c r="U10" i="1"/>
  <c r="T10" i="1"/>
  <c r="S10" i="1"/>
  <c r="R10" i="1"/>
  <c r="Y23" i="1"/>
  <c r="Y22" i="1"/>
  <c r="Y3" i="1"/>
  <c r="Y353" i="1"/>
  <c r="Y348" i="1"/>
  <c r="Y343" i="1"/>
  <c r="Y342" i="1" s="1"/>
  <c r="Z289" i="1"/>
  <c r="Z299" i="1" s="1"/>
  <c r="Z288" i="1"/>
  <c r="Z298" i="1" s="1"/>
  <c r="Z270" i="1"/>
  <c r="Z280" i="1" s="1"/>
  <c r="Z269" i="1"/>
  <c r="Z279" i="1" s="1"/>
  <c r="Z251" i="1"/>
  <c r="Z261" i="1" s="1"/>
  <c r="Z250" i="1"/>
  <c r="Z232" i="1"/>
  <c r="Z231" i="1"/>
  <c r="Z241" i="1" s="1"/>
  <c r="Z223" i="1"/>
  <c r="Z222" i="1"/>
  <c r="Z213" i="1"/>
  <c r="Z212" i="1"/>
  <c r="Z194" i="1"/>
  <c r="Z204" i="1" s="1"/>
  <c r="Z193" i="1"/>
  <c r="Z203" i="1" s="1"/>
  <c r="Z175" i="1"/>
  <c r="Z174" i="1"/>
  <c r="Z184" i="1" s="1"/>
  <c r="Z156" i="1"/>
  <c r="Z166" i="1" s="1"/>
  <c r="Z155" i="1"/>
  <c r="Z165" i="1" s="1"/>
  <c r="Z137" i="1"/>
  <c r="Z147" i="1" s="1"/>
  <c r="Z136" i="1"/>
  <c r="Z146" i="1" s="1"/>
  <c r="Z128" i="1"/>
  <c r="Z127" i="1"/>
  <c r="Z118" i="1"/>
  <c r="Z117" i="1"/>
  <c r="Z99" i="1"/>
  <c r="Z109" i="1" s="1"/>
  <c r="Z98" i="1"/>
  <c r="Z108" i="1" s="1"/>
  <c r="Z80" i="1"/>
  <c r="Z61" i="1"/>
  <c r="Z71" i="1" s="1"/>
  <c r="Z60" i="1"/>
  <c r="Z70" i="1" s="1"/>
  <c r="Z41" i="1"/>
  <c r="Z51" i="1" s="1"/>
  <c r="Z42" i="1"/>
  <c r="Z52" i="1" s="1"/>
  <c r="Z23" i="1"/>
  <c r="Z22" i="1"/>
  <c r="Z4" i="1"/>
  <c r="Z3" i="1"/>
  <c r="Z353" i="1"/>
  <c r="Z348" i="1"/>
  <c r="Z343" i="1"/>
  <c r="AA289" i="1"/>
  <c r="AA288" i="1"/>
  <c r="AA298" i="1" s="1"/>
  <c r="AA270" i="1"/>
  <c r="AA280" i="1" s="1"/>
  <c r="AA269" i="1"/>
  <c r="AA279" i="1" s="1"/>
  <c r="AA251" i="1"/>
  <c r="AA250" i="1"/>
  <c r="AA260" i="1" s="1"/>
  <c r="AA232" i="1"/>
  <c r="AA242" i="1" s="1"/>
  <c r="AA231" i="1"/>
  <c r="AA241" i="1" s="1"/>
  <c r="AA223" i="1"/>
  <c r="AA222" i="1"/>
  <c r="AA213" i="1"/>
  <c r="AA212" i="1"/>
  <c r="AA194" i="1"/>
  <c r="AA204" i="1" s="1"/>
  <c r="AA193" i="1"/>
  <c r="AA203" i="1" s="1"/>
  <c r="AA175" i="1"/>
  <c r="AA185" i="1" s="1"/>
  <c r="AA174" i="1"/>
  <c r="AA184" i="1" s="1"/>
  <c r="AA156" i="1"/>
  <c r="AA155" i="1"/>
  <c r="AA165" i="1" s="1"/>
  <c r="AA137" i="1"/>
  <c r="AA147" i="1" s="1"/>
  <c r="AA136" i="1"/>
  <c r="AA146" i="1" s="1"/>
  <c r="AA128" i="1"/>
  <c r="AA127" i="1"/>
  <c r="AA118" i="1"/>
  <c r="AA117" i="1"/>
  <c r="AA99" i="1"/>
  <c r="AA109" i="1" s="1"/>
  <c r="AA98" i="1"/>
  <c r="AA108" i="1" s="1"/>
  <c r="AA80" i="1"/>
  <c r="AA90" i="1" s="1"/>
  <c r="AA61" i="1"/>
  <c r="AA71" i="1" s="1"/>
  <c r="AA60" i="1"/>
  <c r="AA42" i="1"/>
  <c r="AA52" i="1" s="1"/>
  <c r="AA41" i="1"/>
  <c r="AA51" i="1" s="1"/>
  <c r="AA23" i="1"/>
  <c r="AA22" i="1"/>
  <c r="AA4" i="1"/>
  <c r="AA3" i="1"/>
  <c r="AA353" i="1"/>
  <c r="AA348" i="1"/>
  <c r="AA343" i="1"/>
  <c r="AB289" i="1"/>
  <c r="AB299" i="1" s="1"/>
  <c r="AB288" i="1"/>
  <c r="AB298" i="1" s="1"/>
  <c r="AB270" i="1"/>
  <c r="AB269" i="1"/>
  <c r="AB251" i="1"/>
  <c r="AB261" i="1" s="1"/>
  <c r="AB250" i="1"/>
  <c r="AB260" i="1" s="1"/>
  <c r="AB232" i="1"/>
  <c r="AB242" i="1" s="1"/>
  <c r="AB231" i="1"/>
  <c r="AB241" i="1" s="1"/>
  <c r="AB223" i="1"/>
  <c r="AB222" i="1"/>
  <c r="AB213" i="1"/>
  <c r="AB212" i="1"/>
  <c r="AB194" i="1"/>
  <c r="AB204" i="1" s="1"/>
  <c r="AB193" i="1"/>
  <c r="AB203" i="1" s="1"/>
  <c r="AB175" i="1"/>
  <c r="AB185" i="1" s="1"/>
  <c r="AB174" i="1"/>
  <c r="AB184" i="1" s="1"/>
  <c r="AB156" i="1"/>
  <c r="AB166" i="1" s="1"/>
  <c r="AB155" i="1"/>
  <c r="AB165" i="1" s="1"/>
  <c r="AB137" i="1"/>
  <c r="AB136" i="1"/>
  <c r="AB128" i="1"/>
  <c r="AB127" i="1"/>
  <c r="AB118" i="1"/>
  <c r="AB117" i="1"/>
  <c r="AB99" i="1"/>
  <c r="AB109" i="1" s="1"/>
  <c r="AB98" i="1"/>
  <c r="AB108" i="1" s="1"/>
  <c r="AB80" i="1"/>
  <c r="AB90" i="1" s="1"/>
  <c r="AB61" i="1"/>
  <c r="AB71" i="1" s="1"/>
  <c r="AB42" i="1"/>
  <c r="AB52" i="1" s="1"/>
  <c r="AB41" i="1"/>
  <c r="AB51" i="1" s="1"/>
  <c r="AB23" i="1"/>
  <c r="AB22" i="1"/>
  <c r="AB4" i="1"/>
  <c r="AB3" i="1"/>
  <c r="AB353" i="1"/>
  <c r="AB348" i="1"/>
  <c r="AB343" i="1"/>
  <c r="AB342" i="1" s="1"/>
  <c r="AC353" i="1"/>
  <c r="AC348" i="1"/>
  <c r="AC343" i="1"/>
  <c r="AC289" i="1"/>
  <c r="AC299" i="1" s="1"/>
  <c r="AC288" i="1"/>
  <c r="AC270" i="1"/>
  <c r="AC280" i="1" s="1"/>
  <c r="AC269" i="1"/>
  <c r="AC279" i="1" s="1"/>
  <c r="AC251" i="1"/>
  <c r="AC261" i="1" s="1"/>
  <c r="AC250" i="1"/>
  <c r="AC260" i="1" s="1"/>
  <c r="AC232" i="1"/>
  <c r="AC231" i="1"/>
  <c r="AC223" i="1"/>
  <c r="AC222" i="1"/>
  <c r="AC213" i="1"/>
  <c r="AC212" i="1"/>
  <c r="AC194" i="1"/>
  <c r="AC204" i="1" s="1"/>
  <c r="AC193" i="1"/>
  <c r="AC203" i="1" s="1"/>
  <c r="AC175" i="1"/>
  <c r="AC185" i="1" s="1"/>
  <c r="AC174" i="1"/>
  <c r="AC184" i="1" s="1"/>
  <c r="AC156" i="1"/>
  <c r="AC166" i="1" s="1"/>
  <c r="AC155" i="1"/>
  <c r="AC165" i="1" s="1"/>
  <c r="AC137" i="1"/>
  <c r="AC147" i="1" s="1"/>
  <c r="AC136" i="1"/>
  <c r="AC146" i="1" s="1"/>
  <c r="AC128" i="1"/>
  <c r="AC127" i="1"/>
  <c r="AC118" i="1"/>
  <c r="AC117" i="1"/>
  <c r="AC99" i="1"/>
  <c r="AC109" i="1" s="1"/>
  <c r="AC98" i="1"/>
  <c r="AC80" i="1"/>
  <c r="AC90" i="1" s="1"/>
  <c r="AC61" i="1"/>
  <c r="AC60" i="1"/>
  <c r="AC70" i="1" s="1"/>
  <c r="AC42" i="1"/>
  <c r="AC52" i="1" s="1"/>
  <c r="AC41" i="1"/>
  <c r="AC51" i="1" s="1"/>
  <c r="AC23" i="1"/>
  <c r="AC22" i="1"/>
  <c r="AC32" i="1"/>
  <c r="AC4" i="1"/>
  <c r="AC3" i="1"/>
  <c r="AF29" i="1"/>
  <c r="AE29" i="1"/>
  <c r="AD29" i="1"/>
  <c r="AC29" i="1"/>
  <c r="AB29" i="1"/>
  <c r="AA29" i="1"/>
  <c r="Z29" i="1"/>
  <c r="AF10" i="1"/>
  <c r="AE10" i="1"/>
  <c r="AD10" i="1"/>
  <c r="AC10" i="1"/>
  <c r="AB10" i="1"/>
  <c r="AA10" i="1"/>
  <c r="Z10" i="1"/>
  <c r="Z303" i="1"/>
  <c r="AA303" i="1"/>
  <c r="AA299" i="1"/>
  <c r="AB303" i="1"/>
  <c r="AC303" i="1"/>
  <c r="AC298" i="1"/>
  <c r="AD303" i="1"/>
  <c r="AD299" i="1"/>
  <c r="AD298" i="1"/>
  <c r="AE303" i="1"/>
  <c r="AE299" i="1"/>
  <c r="AE298" i="1"/>
  <c r="AF303" i="1"/>
  <c r="AF299" i="1"/>
  <c r="AF298" i="1"/>
  <c r="AG303" i="1"/>
  <c r="AG300" i="1"/>
  <c r="AG299" i="1"/>
  <c r="AG298" i="1"/>
  <c r="Z284" i="1"/>
  <c r="AA284" i="1"/>
  <c r="AB284" i="1"/>
  <c r="AB280" i="1"/>
  <c r="AB279" i="1"/>
  <c r="AC284" i="1"/>
  <c r="AD284" i="1"/>
  <c r="AD280" i="1"/>
  <c r="AD279" i="1"/>
  <c r="AE284" i="1"/>
  <c r="AE280" i="1"/>
  <c r="AE279" i="1"/>
  <c r="AF284" i="1"/>
  <c r="AF280" i="1"/>
  <c r="AF279" i="1"/>
  <c r="AG284" i="1"/>
  <c r="AG281" i="1"/>
  <c r="AG280" i="1"/>
  <c r="AG279" i="1"/>
  <c r="Z265" i="1"/>
  <c r="Z260" i="1"/>
  <c r="AA265" i="1"/>
  <c r="AA261" i="1"/>
  <c r="AB265" i="1"/>
  <c r="AC265" i="1"/>
  <c r="AD265" i="1"/>
  <c r="AD261" i="1"/>
  <c r="AD260" i="1"/>
  <c r="AE265" i="1"/>
  <c r="AE261" i="1"/>
  <c r="AE260" i="1"/>
  <c r="AF265" i="1"/>
  <c r="AF261" i="1"/>
  <c r="AF260" i="1"/>
  <c r="AG265" i="1"/>
  <c r="AG262" i="1"/>
  <c r="AG261" i="1"/>
  <c r="AG260" i="1"/>
  <c r="Z246" i="1"/>
  <c r="Z242" i="1"/>
  <c r="AA246" i="1"/>
  <c r="AB246" i="1"/>
  <c r="AC246" i="1"/>
  <c r="AC242" i="1"/>
  <c r="AC241" i="1"/>
  <c r="AD246" i="1"/>
  <c r="AD242" i="1"/>
  <c r="AD241" i="1"/>
  <c r="AE246" i="1"/>
  <c r="AE242" i="1"/>
  <c r="AE241" i="1"/>
  <c r="AF246" i="1"/>
  <c r="AF242" i="1"/>
  <c r="AF241" i="1"/>
  <c r="AG246" i="1"/>
  <c r="AG243" i="1"/>
  <c r="AG242" i="1"/>
  <c r="AG241" i="1"/>
  <c r="Z219" i="1"/>
  <c r="AA219" i="1"/>
  <c r="AB219" i="1"/>
  <c r="AC219" i="1"/>
  <c r="AD219" i="1"/>
  <c r="AE219" i="1"/>
  <c r="AF219" i="1"/>
  <c r="AG219" i="1"/>
  <c r="Z208" i="1"/>
  <c r="AA208" i="1"/>
  <c r="AB208" i="1"/>
  <c r="AC208" i="1"/>
  <c r="AD208" i="1"/>
  <c r="AD204" i="1"/>
  <c r="AD203" i="1"/>
  <c r="AE208" i="1"/>
  <c r="AE204" i="1"/>
  <c r="AE203" i="1"/>
  <c r="AF208" i="1"/>
  <c r="AF204" i="1"/>
  <c r="AF203" i="1"/>
  <c r="AG208" i="1"/>
  <c r="AG205" i="1"/>
  <c r="AG204" i="1"/>
  <c r="AG203" i="1"/>
  <c r="Z189" i="1"/>
  <c r="Z185" i="1"/>
  <c r="AA189" i="1"/>
  <c r="AB189" i="1"/>
  <c r="AC189" i="1"/>
  <c r="AD189" i="1"/>
  <c r="AD185" i="1"/>
  <c r="AD184" i="1"/>
  <c r="AE189" i="1"/>
  <c r="AE185" i="1"/>
  <c r="AE184" i="1"/>
  <c r="AF189" i="1"/>
  <c r="AF185" i="1"/>
  <c r="AF184" i="1"/>
  <c r="AG189" i="1"/>
  <c r="AG186" i="1"/>
  <c r="AG185" i="1"/>
  <c r="AG184" i="1"/>
  <c r="Z170" i="1"/>
  <c r="AA170" i="1"/>
  <c r="AA166" i="1"/>
  <c r="AB170" i="1"/>
  <c r="AC170" i="1"/>
  <c r="AD170" i="1"/>
  <c r="AD166" i="1"/>
  <c r="AD165" i="1"/>
  <c r="AE170" i="1"/>
  <c r="AE166" i="1"/>
  <c r="AE165" i="1"/>
  <c r="AF170" i="1"/>
  <c r="AF166" i="1"/>
  <c r="AF165" i="1"/>
  <c r="AG170" i="1"/>
  <c r="AG167" i="1"/>
  <c r="AG166" i="1"/>
  <c r="AG165" i="1"/>
  <c r="Z151" i="1"/>
  <c r="AA151" i="1"/>
  <c r="AB151" i="1"/>
  <c r="AB147" i="1"/>
  <c r="AB146" i="1"/>
  <c r="AC151" i="1"/>
  <c r="AD151" i="1"/>
  <c r="AD147" i="1"/>
  <c r="AD146" i="1"/>
  <c r="AE151" i="1"/>
  <c r="AE147" i="1"/>
  <c r="AE146" i="1"/>
  <c r="AF151" i="1"/>
  <c r="AF147" i="1"/>
  <c r="AF146" i="1"/>
  <c r="AG151" i="1"/>
  <c r="AG148" i="1"/>
  <c r="AG147" i="1"/>
  <c r="AG146" i="1"/>
  <c r="AF124" i="1"/>
  <c r="AE124" i="1"/>
  <c r="AD124" i="1"/>
  <c r="AC124" i="1"/>
  <c r="AB124" i="1"/>
  <c r="AA124" i="1"/>
  <c r="Z124" i="1"/>
  <c r="AG124" i="1"/>
  <c r="Z113" i="1"/>
  <c r="AA113" i="1"/>
  <c r="AB113" i="1"/>
  <c r="AC113" i="1"/>
  <c r="AC108" i="1"/>
  <c r="AD113" i="1"/>
  <c r="AD109" i="1"/>
  <c r="AD108" i="1"/>
  <c r="AE113" i="1"/>
  <c r="AE109" i="1"/>
  <c r="AE108" i="1"/>
  <c r="AF113" i="1"/>
  <c r="AF109" i="1"/>
  <c r="AF108" i="1"/>
  <c r="AG113" i="1"/>
  <c r="AG110" i="1"/>
  <c r="AG109" i="1"/>
  <c r="AG108" i="1"/>
  <c r="Z94" i="1"/>
  <c r="Z90" i="1"/>
  <c r="AA94" i="1"/>
  <c r="AB94" i="1"/>
  <c r="AC94" i="1"/>
  <c r="AD94" i="1"/>
  <c r="AD90" i="1"/>
  <c r="AE94" i="1"/>
  <c r="AE90" i="1"/>
  <c r="AF94" i="1"/>
  <c r="AF90" i="1"/>
  <c r="AG94" i="1"/>
  <c r="AG91" i="1"/>
  <c r="AG90" i="1"/>
  <c r="Z75" i="1"/>
  <c r="AA75" i="1"/>
  <c r="AA70" i="1"/>
  <c r="AB75" i="1"/>
  <c r="AB70" i="1"/>
  <c r="AC75" i="1"/>
  <c r="AC71" i="1"/>
  <c r="AD75" i="1"/>
  <c r="AD71" i="1"/>
  <c r="AD70" i="1"/>
  <c r="AE75" i="1"/>
  <c r="AE71" i="1"/>
  <c r="AE70" i="1"/>
  <c r="AF75" i="1"/>
  <c r="AF71" i="1"/>
  <c r="AF70" i="1"/>
  <c r="AG75" i="1"/>
  <c r="AG72" i="1"/>
  <c r="AG71" i="1"/>
  <c r="AG70" i="1"/>
  <c r="Z56" i="1"/>
  <c r="AA56" i="1"/>
  <c r="AB56" i="1"/>
  <c r="AC56" i="1"/>
  <c r="AD56" i="1"/>
  <c r="AD52" i="1"/>
  <c r="AD51" i="1"/>
  <c r="AE56" i="1"/>
  <c r="AE52" i="1"/>
  <c r="AE51" i="1"/>
  <c r="AF56" i="1"/>
  <c r="AF52" i="1"/>
  <c r="AF51" i="1"/>
  <c r="AG56" i="1"/>
  <c r="AG53" i="1"/>
  <c r="AG52" i="1"/>
  <c r="AG51" i="1"/>
  <c r="AG29" i="1"/>
  <c r="AG10" i="1"/>
  <c r="AH303" i="1"/>
  <c r="AH300" i="1"/>
  <c r="AH299" i="1"/>
  <c r="AH298" i="1"/>
  <c r="AH284" i="1"/>
  <c r="AH281" i="1"/>
  <c r="AH280" i="1"/>
  <c r="AH279" i="1"/>
  <c r="AH265" i="1"/>
  <c r="AH262" i="1"/>
  <c r="AH261" i="1"/>
  <c r="AH260" i="1"/>
  <c r="AH246" i="1"/>
  <c r="AH243" i="1"/>
  <c r="AH242" i="1"/>
  <c r="AH241" i="1"/>
  <c r="AH219" i="1"/>
  <c r="AH208" i="1"/>
  <c r="AH205" i="1"/>
  <c r="AH204" i="1"/>
  <c r="AH203" i="1"/>
  <c r="AH189" i="1"/>
  <c r="AH186" i="1"/>
  <c r="AH185" i="1"/>
  <c r="AH184" i="1"/>
  <c r="AH170" i="1"/>
  <c r="AH167" i="1"/>
  <c r="AH166" i="1"/>
  <c r="AH165" i="1"/>
  <c r="AH151" i="1"/>
  <c r="AH148" i="1"/>
  <c r="AH147" i="1"/>
  <c r="AH146" i="1"/>
  <c r="AH124" i="1"/>
  <c r="AH113" i="1"/>
  <c r="AH110" i="1"/>
  <c r="AH109" i="1"/>
  <c r="AH108" i="1"/>
  <c r="AH94" i="1"/>
  <c r="AH91" i="1"/>
  <c r="AH90" i="1"/>
  <c r="AH75" i="1"/>
  <c r="AH72" i="1"/>
  <c r="AH71" i="1"/>
  <c r="AH70" i="1"/>
  <c r="AH56" i="1"/>
  <c r="AH53" i="1"/>
  <c r="AH52" i="1"/>
  <c r="AH51" i="1"/>
  <c r="AH29" i="1"/>
  <c r="AH10" i="1"/>
  <c r="AI303" i="1"/>
  <c r="AI300" i="1"/>
  <c r="AI299" i="1"/>
  <c r="AI298" i="1"/>
  <c r="AI284" i="1"/>
  <c r="AI281" i="1"/>
  <c r="AI280" i="1"/>
  <c r="AI279" i="1"/>
  <c r="AI265" i="1"/>
  <c r="AI262" i="1"/>
  <c r="AI261" i="1"/>
  <c r="AI260" i="1"/>
  <c r="AI246" i="1"/>
  <c r="AI243" i="1"/>
  <c r="AI242" i="1"/>
  <c r="AI241" i="1"/>
  <c r="AI219" i="1"/>
  <c r="AI208" i="1"/>
  <c r="AI205" i="1"/>
  <c r="AI204" i="1"/>
  <c r="AI203" i="1"/>
  <c r="AI189" i="1"/>
  <c r="AI186" i="1"/>
  <c r="AI185" i="1"/>
  <c r="AI184" i="1"/>
  <c r="AI170" i="1"/>
  <c r="AI167" i="1"/>
  <c r="AI166" i="1"/>
  <c r="AI165" i="1"/>
  <c r="AI151" i="1"/>
  <c r="AI148" i="1"/>
  <c r="AI147" i="1"/>
  <c r="AI146" i="1"/>
  <c r="AI124" i="1"/>
  <c r="AI113" i="1"/>
  <c r="AI110" i="1"/>
  <c r="AI109" i="1"/>
  <c r="AI108" i="1"/>
  <c r="AI94" i="1"/>
  <c r="AI91" i="1"/>
  <c r="AI90" i="1"/>
  <c r="AI75" i="1"/>
  <c r="AI72" i="1"/>
  <c r="AI71" i="1"/>
  <c r="AI70" i="1"/>
  <c r="AI56" i="1"/>
  <c r="AI53" i="1"/>
  <c r="AI52" i="1"/>
  <c r="AI51" i="1"/>
  <c r="AI29" i="1"/>
  <c r="AI10" i="1"/>
  <c r="AJ303" i="1"/>
  <c r="AJ300" i="1"/>
  <c r="AJ299" i="1"/>
  <c r="AJ298" i="1"/>
  <c r="AJ284" i="1"/>
  <c r="AJ281" i="1"/>
  <c r="AJ280" i="1"/>
  <c r="AJ279" i="1"/>
  <c r="AJ265" i="1"/>
  <c r="AJ262" i="1"/>
  <c r="AJ261" i="1"/>
  <c r="AJ260" i="1"/>
  <c r="AJ246" i="1"/>
  <c r="AJ243" i="1"/>
  <c r="AJ242" i="1"/>
  <c r="AJ241" i="1"/>
  <c r="AJ219" i="1"/>
  <c r="AJ208" i="1"/>
  <c r="AJ205" i="1"/>
  <c r="AJ204" i="1"/>
  <c r="AJ203" i="1"/>
  <c r="AJ189" i="1"/>
  <c r="AJ186" i="1"/>
  <c r="AJ185" i="1"/>
  <c r="AJ184" i="1"/>
  <c r="AJ170" i="1"/>
  <c r="AJ167" i="1"/>
  <c r="AJ166" i="1"/>
  <c r="AJ165" i="1"/>
  <c r="AJ151" i="1"/>
  <c r="AJ148" i="1"/>
  <c r="AJ147" i="1"/>
  <c r="AJ146" i="1"/>
  <c r="AJ124" i="1"/>
  <c r="AJ113" i="1"/>
  <c r="AJ110" i="1"/>
  <c r="AJ109" i="1"/>
  <c r="AJ108" i="1"/>
  <c r="AJ94" i="1"/>
  <c r="AJ91" i="1"/>
  <c r="AJ90" i="1"/>
  <c r="AJ75" i="1"/>
  <c r="AJ72" i="1"/>
  <c r="AJ71" i="1"/>
  <c r="AJ70" i="1"/>
  <c r="AJ56" i="1"/>
  <c r="AJ53" i="1"/>
  <c r="AJ52" i="1"/>
  <c r="AJ51" i="1"/>
  <c r="AJ29" i="1"/>
  <c r="AJ10" i="1"/>
  <c r="AK303" i="1"/>
  <c r="AK300" i="1"/>
  <c r="AK299" i="1"/>
  <c r="AK298" i="1"/>
  <c r="AK284" i="1"/>
  <c r="AK281" i="1"/>
  <c r="AK280" i="1"/>
  <c r="AK279" i="1"/>
  <c r="AK265" i="1"/>
  <c r="AK262" i="1"/>
  <c r="AK261" i="1"/>
  <c r="AK260" i="1"/>
  <c r="AK246" i="1"/>
  <c r="AK243" i="1"/>
  <c r="AK242" i="1"/>
  <c r="AK241" i="1"/>
  <c r="AK219" i="1"/>
  <c r="AK208" i="1"/>
  <c r="AK205" i="1"/>
  <c r="AK204" i="1"/>
  <c r="AK203" i="1"/>
  <c r="AK189" i="1"/>
  <c r="AK186" i="1"/>
  <c r="AK185" i="1"/>
  <c r="AK184" i="1"/>
  <c r="AK170" i="1"/>
  <c r="AK167" i="1"/>
  <c r="AK166" i="1"/>
  <c r="AK165" i="1"/>
  <c r="AK151" i="1"/>
  <c r="AK148" i="1"/>
  <c r="AK147" i="1"/>
  <c r="AK146" i="1"/>
  <c r="AK124" i="1"/>
  <c r="AK113" i="1"/>
  <c r="AK110" i="1"/>
  <c r="AK109" i="1"/>
  <c r="AK108" i="1"/>
  <c r="AK94" i="1"/>
  <c r="AK91" i="1"/>
  <c r="AK90" i="1"/>
  <c r="AK75" i="1"/>
  <c r="AK72" i="1"/>
  <c r="AK71" i="1"/>
  <c r="AK70" i="1"/>
  <c r="AK56" i="1"/>
  <c r="AK53" i="1"/>
  <c r="AK52" i="1"/>
  <c r="AK51" i="1"/>
  <c r="AK29" i="1"/>
  <c r="AK10" i="1"/>
  <c r="AL303" i="1"/>
  <c r="AL300" i="1"/>
  <c r="AL299" i="1"/>
  <c r="AL298" i="1"/>
  <c r="AL284" i="1"/>
  <c r="AL281" i="1"/>
  <c r="AL280" i="1"/>
  <c r="AL279" i="1"/>
  <c r="AL265" i="1"/>
  <c r="AL262" i="1"/>
  <c r="AL261" i="1"/>
  <c r="AL260" i="1"/>
  <c r="AL246" i="1"/>
  <c r="AL243" i="1"/>
  <c r="AL242" i="1"/>
  <c r="AL241" i="1"/>
  <c r="AL219" i="1"/>
  <c r="AL208" i="1"/>
  <c r="AL205" i="1"/>
  <c r="AL204" i="1"/>
  <c r="AL203" i="1"/>
  <c r="AL189" i="1"/>
  <c r="AL186" i="1"/>
  <c r="AL185" i="1"/>
  <c r="AL184" i="1"/>
  <c r="AL170" i="1"/>
  <c r="AL167" i="1"/>
  <c r="AL166" i="1"/>
  <c r="AL165" i="1"/>
  <c r="AL151" i="1"/>
  <c r="AL148" i="1"/>
  <c r="AL147" i="1"/>
  <c r="AL146" i="1"/>
  <c r="AL124" i="1"/>
  <c r="AL113" i="1"/>
  <c r="AL110" i="1"/>
  <c r="AL109" i="1"/>
  <c r="AL108" i="1"/>
  <c r="AL94" i="1"/>
  <c r="AL91" i="1"/>
  <c r="AL90" i="1"/>
  <c r="AL75" i="1"/>
  <c r="AL72" i="1"/>
  <c r="AL71" i="1"/>
  <c r="AL70" i="1"/>
  <c r="AL56" i="1"/>
  <c r="AL53" i="1"/>
  <c r="AL52" i="1"/>
  <c r="AL51" i="1"/>
  <c r="AL29" i="1"/>
  <c r="AL10" i="1"/>
  <c r="AM303" i="1"/>
  <c r="AM302" i="1"/>
  <c r="AM301" i="1"/>
  <c r="AM300" i="1"/>
  <c r="AM299" i="1"/>
  <c r="AM298" i="1"/>
  <c r="AM284" i="1"/>
  <c r="AM283" i="1"/>
  <c r="AM282" i="1"/>
  <c r="AM281" i="1"/>
  <c r="AM280" i="1"/>
  <c r="AM279" i="1"/>
  <c r="AM265" i="1"/>
  <c r="AM264" i="1"/>
  <c r="AM263" i="1"/>
  <c r="AM262" i="1"/>
  <c r="AM261" i="1"/>
  <c r="AM260" i="1"/>
  <c r="AM246" i="1"/>
  <c r="AM245" i="1"/>
  <c r="AM244" i="1"/>
  <c r="AM243" i="1"/>
  <c r="AM242" i="1"/>
  <c r="AM241" i="1"/>
  <c r="AM219" i="1"/>
  <c r="AM208" i="1"/>
  <c r="AM207" i="1"/>
  <c r="AM206" i="1"/>
  <c r="AM205" i="1"/>
  <c r="AM204" i="1"/>
  <c r="AM203" i="1"/>
  <c r="AM189" i="1"/>
  <c r="AM188" i="1"/>
  <c r="AM187" i="1"/>
  <c r="AM186" i="1"/>
  <c r="AM185" i="1"/>
  <c r="AM184" i="1"/>
  <c r="AM170" i="1"/>
  <c r="AM169" i="1"/>
  <c r="AM168" i="1"/>
  <c r="AM167" i="1"/>
  <c r="AM166" i="1"/>
  <c r="AM165" i="1"/>
  <c r="AM151" i="1"/>
  <c r="AM150" i="1"/>
  <c r="AM149" i="1"/>
  <c r="AM148" i="1"/>
  <c r="AM147" i="1"/>
  <c r="AM146" i="1"/>
  <c r="AM124" i="1"/>
  <c r="AM113" i="1"/>
  <c r="AM112" i="1"/>
  <c r="AM111" i="1"/>
  <c r="AM110" i="1"/>
  <c r="AM109" i="1"/>
  <c r="AM108" i="1"/>
  <c r="AM94" i="1"/>
  <c r="AM93" i="1"/>
  <c r="AM92" i="1"/>
  <c r="AM91" i="1"/>
  <c r="AM90" i="1"/>
  <c r="AM75" i="1"/>
  <c r="AM74" i="1"/>
  <c r="AM73" i="1"/>
  <c r="AM72" i="1"/>
  <c r="AM71" i="1"/>
  <c r="AM70" i="1"/>
  <c r="AM56" i="1"/>
  <c r="AM55" i="1"/>
  <c r="AM54" i="1"/>
  <c r="AM53" i="1"/>
  <c r="AM52" i="1"/>
  <c r="AM51" i="1"/>
  <c r="AM29" i="1"/>
  <c r="AM10" i="1"/>
  <c r="AO353" i="1"/>
  <c r="AN353" i="1"/>
  <c r="AM353" i="1"/>
  <c r="AL353" i="1"/>
  <c r="AK353" i="1"/>
  <c r="AJ353" i="1"/>
  <c r="AI353" i="1"/>
  <c r="AH353" i="1"/>
  <c r="AG353" i="1"/>
  <c r="AF353" i="1"/>
  <c r="AE353" i="1"/>
  <c r="AD353" i="1"/>
  <c r="AO348" i="1"/>
  <c r="AN348" i="1"/>
  <c r="AM348" i="1"/>
  <c r="AL348" i="1"/>
  <c r="AK348" i="1"/>
  <c r="AJ348" i="1"/>
  <c r="AI348" i="1"/>
  <c r="AH348" i="1"/>
  <c r="AG348" i="1"/>
  <c r="AF348" i="1"/>
  <c r="AE348" i="1"/>
  <c r="AD348" i="1"/>
  <c r="AO343" i="1"/>
  <c r="AN343" i="1"/>
  <c r="AM343" i="1"/>
  <c r="AL343" i="1"/>
  <c r="AK343" i="1"/>
  <c r="AJ343" i="1"/>
  <c r="AI343" i="1"/>
  <c r="AH343" i="1"/>
  <c r="AG343" i="1"/>
  <c r="AF343" i="1"/>
  <c r="AE343" i="1"/>
  <c r="AD343" i="1"/>
  <c r="AN303" i="1"/>
  <c r="AN302" i="1"/>
  <c r="AN301" i="1"/>
  <c r="AN300" i="1"/>
  <c r="AN299" i="1"/>
  <c r="AN298" i="1"/>
  <c r="AN284" i="1"/>
  <c r="AN283" i="1"/>
  <c r="AN282" i="1"/>
  <c r="AN281" i="1"/>
  <c r="AN280" i="1"/>
  <c r="AN279" i="1"/>
  <c r="AN265" i="1"/>
  <c r="AN264" i="1"/>
  <c r="AN263" i="1"/>
  <c r="AN262" i="1"/>
  <c r="AN261" i="1"/>
  <c r="AN260" i="1"/>
  <c r="AN246" i="1"/>
  <c r="AN245" i="1"/>
  <c r="AN244" i="1"/>
  <c r="AN243" i="1"/>
  <c r="AN242" i="1"/>
  <c r="AN241" i="1"/>
  <c r="AN219" i="1"/>
  <c r="AN208" i="1"/>
  <c r="AN207" i="1"/>
  <c r="AN206" i="1"/>
  <c r="AN205" i="1"/>
  <c r="AN204" i="1"/>
  <c r="AN203" i="1"/>
  <c r="AN189" i="1"/>
  <c r="AN188" i="1"/>
  <c r="AN187" i="1"/>
  <c r="AN186" i="1"/>
  <c r="AN185" i="1"/>
  <c r="AN184" i="1"/>
  <c r="AN170" i="1"/>
  <c r="AN169" i="1"/>
  <c r="AN168" i="1"/>
  <c r="AN167" i="1"/>
  <c r="AN166" i="1"/>
  <c r="AN165" i="1"/>
  <c r="AN151" i="1"/>
  <c r="AN150" i="1"/>
  <c r="AN149" i="1"/>
  <c r="AN148" i="1"/>
  <c r="AN147" i="1"/>
  <c r="AN146" i="1"/>
  <c r="AN124" i="1"/>
  <c r="AN113" i="1"/>
  <c r="AN112" i="1"/>
  <c r="AN111" i="1"/>
  <c r="AN110" i="1"/>
  <c r="AN109" i="1"/>
  <c r="AN108" i="1"/>
  <c r="AN94" i="1"/>
  <c r="AN93" i="1"/>
  <c r="AN92" i="1"/>
  <c r="AN91" i="1"/>
  <c r="AN90" i="1"/>
  <c r="AN75" i="1"/>
  <c r="AN74" i="1"/>
  <c r="AN73" i="1"/>
  <c r="AN72" i="1"/>
  <c r="AN71" i="1"/>
  <c r="AN70" i="1"/>
  <c r="AN56" i="1"/>
  <c r="AN55" i="1"/>
  <c r="AN54" i="1"/>
  <c r="AN53" i="1"/>
  <c r="AN52" i="1"/>
  <c r="AN51" i="1"/>
  <c r="AN29" i="1"/>
  <c r="AN10" i="1"/>
  <c r="AO303" i="1"/>
  <c r="AO302" i="1"/>
  <c r="AO301" i="1"/>
  <c r="AO300" i="1"/>
  <c r="AO299" i="1"/>
  <c r="AO298" i="1"/>
  <c r="AO284" i="1"/>
  <c r="AO283" i="1"/>
  <c r="AO282" i="1"/>
  <c r="AO281" i="1"/>
  <c r="AO280" i="1"/>
  <c r="AO279" i="1"/>
  <c r="AO265" i="1"/>
  <c r="AO264" i="1"/>
  <c r="AO263" i="1"/>
  <c r="AO262" i="1"/>
  <c r="AO261" i="1"/>
  <c r="AO260" i="1"/>
  <c r="AO246" i="1"/>
  <c r="AO245" i="1"/>
  <c r="AO244" i="1"/>
  <c r="AO243" i="1"/>
  <c r="AO242" i="1"/>
  <c r="AO241" i="1"/>
  <c r="AP219" i="1"/>
  <c r="AO219" i="1"/>
  <c r="AO208" i="1"/>
  <c r="AO207" i="1"/>
  <c r="AO206" i="1"/>
  <c r="AO205" i="1"/>
  <c r="AO204" i="1"/>
  <c r="AO203" i="1"/>
  <c r="AO189" i="1"/>
  <c r="AO188" i="1"/>
  <c r="AO187" i="1"/>
  <c r="AO186" i="1"/>
  <c r="AO185" i="1"/>
  <c r="AO184" i="1"/>
  <c r="AO170" i="1"/>
  <c r="AO169" i="1"/>
  <c r="AO168" i="1"/>
  <c r="AO167" i="1"/>
  <c r="AO166" i="1"/>
  <c r="AO165" i="1"/>
  <c r="AO151" i="1"/>
  <c r="AO150" i="1"/>
  <c r="AO149" i="1"/>
  <c r="AO148" i="1"/>
  <c r="AO147" i="1"/>
  <c r="AO146" i="1"/>
  <c r="AO124" i="1"/>
  <c r="AO113" i="1"/>
  <c r="AO112" i="1"/>
  <c r="AO111" i="1"/>
  <c r="AO110" i="1"/>
  <c r="AO109" i="1"/>
  <c r="AO108" i="1"/>
  <c r="AO94" i="1"/>
  <c r="AO93" i="1"/>
  <c r="AO92" i="1"/>
  <c r="AO91" i="1"/>
  <c r="AO90" i="1"/>
  <c r="AO75" i="1"/>
  <c r="AO74" i="1"/>
  <c r="AO73" i="1"/>
  <c r="AO72" i="1"/>
  <c r="AO71" i="1"/>
  <c r="AO70" i="1"/>
  <c r="AO56" i="1"/>
  <c r="AO55" i="1"/>
  <c r="AO54" i="1"/>
  <c r="AO53" i="1"/>
  <c r="AO52" i="1"/>
  <c r="AO51" i="1"/>
  <c r="AP29" i="1"/>
  <c r="AP303" i="1"/>
  <c r="AP302" i="1"/>
  <c r="AP301" i="1"/>
  <c r="AP300" i="1"/>
  <c r="AP299" i="1"/>
  <c r="AP298" i="1"/>
  <c r="AP284" i="1"/>
  <c r="AP283" i="1"/>
  <c r="AP282" i="1"/>
  <c r="AP281" i="1"/>
  <c r="AP280" i="1"/>
  <c r="AP279" i="1"/>
  <c r="AP265" i="1"/>
  <c r="AP264" i="1"/>
  <c r="AP263" i="1"/>
  <c r="AP262" i="1"/>
  <c r="AP261" i="1"/>
  <c r="AP260" i="1"/>
  <c r="AP246" i="1"/>
  <c r="AP245" i="1"/>
  <c r="AP244" i="1"/>
  <c r="AP243" i="1"/>
  <c r="AP242" i="1"/>
  <c r="AP241" i="1"/>
  <c r="AP208" i="1"/>
  <c r="AP207" i="1"/>
  <c r="AP206" i="1"/>
  <c r="AP205" i="1"/>
  <c r="AP204" i="1"/>
  <c r="AP203" i="1"/>
  <c r="AP189" i="1"/>
  <c r="AP188" i="1"/>
  <c r="AP187" i="1"/>
  <c r="AP186" i="1"/>
  <c r="AP185" i="1"/>
  <c r="AP184" i="1"/>
  <c r="AP170" i="1"/>
  <c r="AP169" i="1"/>
  <c r="AP168" i="1"/>
  <c r="AP167" i="1"/>
  <c r="AP166" i="1"/>
  <c r="AP165" i="1"/>
  <c r="AP151" i="1"/>
  <c r="AP150" i="1"/>
  <c r="AP149" i="1"/>
  <c r="AP148" i="1"/>
  <c r="AP147" i="1"/>
  <c r="AP146" i="1"/>
  <c r="AP124" i="1"/>
  <c r="AP113" i="1"/>
  <c r="AP112" i="1"/>
  <c r="AP111" i="1"/>
  <c r="AP110" i="1"/>
  <c r="AP109" i="1"/>
  <c r="AP108" i="1"/>
  <c r="AP94" i="1"/>
  <c r="AP93" i="1"/>
  <c r="AP92" i="1"/>
  <c r="AP91" i="1"/>
  <c r="AP90" i="1"/>
  <c r="AP75" i="1"/>
  <c r="AP74" i="1"/>
  <c r="AP73" i="1"/>
  <c r="AP72" i="1"/>
  <c r="AP71" i="1"/>
  <c r="AP70" i="1"/>
  <c r="AP56" i="1"/>
  <c r="AP55" i="1"/>
  <c r="AP54" i="1"/>
  <c r="AP53" i="1"/>
  <c r="AP52" i="1"/>
  <c r="AP51" i="1"/>
  <c r="AQ303" i="1"/>
  <c r="AQ302" i="1"/>
  <c r="AQ301" i="1"/>
  <c r="AQ300" i="1"/>
  <c r="AQ299" i="1"/>
  <c r="AQ298" i="1"/>
  <c r="AQ284" i="1"/>
  <c r="AQ283" i="1"/>
  <c r="AQ282" i="1"/>
  <c r="AQ281" i="1"/>
  <c r="AQ280" i="1"/>
  <c r="AQ279" i="1"/>
  <c r="AQ265" i="1"/>
  <c r="AQ264" i="1"/>
  <c r="AQ263" i="1"/>
  <c r="AQ262" i="1"/>
  <c r="AQ261" i="1"/>
  <c r="AQ260" i="1"/>
  <c r="AQ246" i="1"/>
  <c r="AQ245" i="1"/>
  <c r="AQ244" i="1"/>
  <c r="AQ243" i="1"/>
  <c r="AQ242" i="1"/>
  <c r="AQ241" i="1"/>
  <c r="AQ219" i="1"/>
  <c r="AQ208" i="1"/>
  <c r="AQ207" i="1"/>
  <c r="AQ206" i="1"/>
  <c r="AQ205" i="1"/>
  <c r="AQ204" i="1"/>
  <c r="AQ203" i="1"/>
  <c r="AQ189" i="1"/>
  <c r="AQ188" i="1"/>
  <c r="AQ187" i="1"/>
  <c r="AQ186" i="1"/>
  <c r="AQ185" i="1"/>
  <c r="AQ184" i="1"/>
  <c r="AQ170" i="1"/>
  <c r="AQ169" i="1"/>
  <c r="AQ168" i="1"/>
  <c r="AQ167" i="1"/>
  <c r="AQ166" i="1"/>
  <c r="AQ165" i="1"/>
  <c r="AQ151" i="1"/>
  <c r="AQ150" i="1"/>
  <c r="AQ149" i="1"/>
  <c r="AQ148" i="1"/>
  <c r="AQ147" i="1"/>
  <c r="AQ146" i="1"/>
  <c r="AQ124" i="1"/>
  <c r="AQ113" i="1"/>
  <c r="AQ112" i="1"/>
  <c r="AQ111" i="1"/>
  <c r="AQ110" i="1"/>
  <c r="AQ109" i="1"/>
  <c r="AQ108" i="1"/>
  <c r="AQ90" i="1"/>
  <c r="AQ94" i="1"/>
  <c r="AQ93" i="1"/>
  <c r="AQ92" i="1"/>
  <c r="AQ91" i="1"/>
  <c r="AQ75" i="1"/>
  <c r="AQ74" i="1"/>
  <c r="AQ73" i="1"/>
  <c r="AQ72" i="1"/>
  <c r="AQ71" i="1"/>
  <c r="AQ70" i="1"/>
  <c r="AQ56" i="1"/>
  <c r="AQ55" i="1"/>
  <c r="AQ54" i="1"/>
  <c r="AQ53" i="1"/>
  <c r="AQ52" i="1"/>
  <c r="AQ51" i="1"/>
  <c r="AQ29" i="1"/>
  <c r="AC33" i="1"/>
  <c r="AB32" i="1"/>
  <c r="AB33" i="1"/>
  <c r="AA32" i="1"/>
  <c r="AA33" i="1"/>
  <c r="Z32" i="1"/>
  <c r="Z33" i="1"/>
  <c r="Y32" i="1"/>
  <c r="Y33" i="1"/>
  <c r="X32" i="1"/>
  <c r="X33" i="1"/>
  <c r="W32" i="1"/>
  <c r="W33" i="1"/>
  <c r="V32" i="1"/>
  <c r="V33" i="1"/>
  <c r="U33" i="1"/>
  <c r="T32" i="1"/>
  <c r="T33" i="1"/>
  <c r="R32" i="1"/>
  <c r="R33" i="1"/>
  <c r="AQ10" i="1"/>
  <c r="AP10" i="1"/>
  <c r="R14" i="1"/>
  <c r="R13" i="1"/>
  <c r="AC14" i="1"/>
  <c r="AB14" i="1"/>
  <c r="AA14" i="1"/>
  <c r="Z14" i="1"/>
  <c r="Y14" i="1"/>
  <c r="X14" i="1"/>
  <c r="W14" i="1"/>
  <c r="T14" i="1"/>
  <c r="S14" i="1"/>
  <c r="AC13" i="1"/>
  <c r="AB13" i="1"/>
  <c r="AA13" i="1"/>
  <c r="Z13" i="1"/>
  <c r="Y13" i="1"/>
  <c r="X13" i="1"/>
  <c r="W13" i="1"/>
  <c r="V13" i="1"/>
  <c r="U13" i="1"/>
  <c r="T13" i="1"/>
  <c r="S13" i="1"/>
  <c r="AO29" i="1"/>
  <c r="AO10" i="1"/>
  <c r="R286" i="1" l="1"/>
  <c r="AB286" i="1"/>
  <c r="AO58" i="1"/>
  <c r="F172" i="1"/>
  <c r="G248" i="1"/>
  <c r="Q248" i="1"/>
  <c r="R267" i="1"/>
  <c r="T305" i="1"/>
  <c r="S342" i="1"/>
  <c r="V58" i="1"/>
  <c r="G172" i="1"/>
  <c r="P172" i="1"/>
  <c r="AB191" i="1"/>
  <c r="G210" i="1"/>
  <c r="AA210" i="1"/>
  <c r="AB267" i="1"/>
  <c r="S286" i="1"/>
  <c r="AM286" i="1"/>
  <c r="AC77" i="1"/>
  <c r="AM77" i="1"/>
  <c r="K115" i="1"/>
  <c r="X191" i="1"/>
  <c r="N248" i="1"/>
  <c r="D267" i="1"/>
  <c r="F286" i="1"/>
  <c r="AA305" i="1"/>
  <c r="S58" i="1"/>
  <c r="AN96" i="1"/>
  <c r="AP153" i="1"/>
  <c r="N210" i="1"/>
  <c r="K96" i="1"/>
  <c r="Y191" i="1"/>
  <c r="AH210" i="1"/>
  <c r="F267" i="1"/>
  <c r="G286" i="1"/>
  <c r="H305" i="1"/>
  <c r="AB305" i="1"/>
  <c r="AL305" i="1"/>
  <c r="J58" i="1"/>
  <c r="Y210" i="1"/>
  <c r="AJ267" i="1"/>
  <c r="AO77" i="1"/>
  <c r="AH153" i="1"/>
  <c r="W58" i="1"/>
  <c r="AQ58" i="1"/>
  <c r="P115" i="1"/>
  <c r="J267" i="1"/>
  <c r="V305" i="1"/>
  <c r="AF305" i="1"/>
  <c r="V342" i="1"/>
  <c r="AH58" i="1"/>
  <c r="Z115" i="1"/>
  <c r="R172" i="1"/>
  <c r="AM191" i="1"/>
  <c r="S210" i="1"/>
  <c r="AE286" i="1"/>
  <c r="E77" i="1"/>
  <c r="AI77" i="1"/>
  <c r="P96" i="1"/>
  <c r="AL172" i="1"/>
  <c r="T191" i="1"/>
  <c r="W305" i="1"/>
  <c r="AG305" i="1"/>
  <c r="Z77" i="1"/>
  <c r="AJ77" i="1"/>
  <c r="S153" i="1"/>
  <c r="K248" i="1"/>
  <c r="M286" i="1"/>
  <c r="AK342" i="1"/>
  <c r="F58" i="1"/>
  <c r="Z58" i="1"/>
  <c r="T172" i="1"/>
  <c r="K210" i="1"/>
  <c r="U210" i="1"/>
  <c r="AE248" i="1"/>
  <c r="AF267" i="1"/>
  <c r="AG210" i="1"/>
  <c r="W172" i="1"/>
  <c r="AQ210" i="1"/>
  <c r="W153" i="1"/>
  <c r="AD58" i="1"/>
  <c r="AP115" i="1"/>
  <c r="V77" i="1"/>
  <c r="AD342" i="1"/>
  <c r="R210" i="1"/>
  <c r="D77" i="1"/>
  <c r="AN191" i="1"/>
  <c r="I153" i="1"/>
  <c r="U248" i="1"/>
  <c r="AA77" i="1"/>
  <c r="AK77" i="1"/>
  <c r="H96" i="1"/>
  <c r="R96" i="1"/>
  <c r="J153" i="1"/>
  <c r="AD153" i="1"/>
  <c r="L248" i="1"/>
  <c r="D305" i="1"/>
  <c r="AI305" i="1"/>
  <c r="E305" i="1"/>
  <c r="O248" i="1"/>
  <c r="D172" i="1"/>
  <c r="E191" i="1"/>
  <c r="U58" i="1"/>
  <c r="O172" i="1"/>
  <c r="Y96" i="1"/>
  <c r="O58" i="1"/>
  <c r="F77" i="1"/>
  <c r="AK115" i="1"/>
  <c r="AC172" i="1"/>
  <c r="AM210" i="1"/>
  <c r="V286" i="1"/>
  <c r="R77" i="1"/>
  <c r="AE153" i="1"/>
  <c r="AN153" i="1"/>
  <c r="AO210" i="1"/>
  <c r="AG267" i="1"/>
  <c r="X286" i="1"/>
  <c r="AQ153" i="1"/>
  <c r="AN58" i="1"/>
  <c r="L96" i="1"/>
  <c r="M115" i="1"/>
  <c r="Y172" i="1"/>
  <c r="G191" i="1"/>
  <c r="Y115" i="1"/>
  <c r="AI115" i="1"/>
  <c r="I191" i="1"/>
  <c r="AL191" i="1"/>
  <c r="AK210" i="1"/>
  <c r="AJ115" i="1"/>
  <c r="H153" i="1"/>
  <c r="D58" i="1"/>
  <c r="T115" i="1"/>
  <c r="D286" i="1"/>
  <c r="F305" i="1"/>
  <c r="P305" i="1"/>
  <c r="AJ305" i="1"/>
  <c r="E248" i="1"/>
  <c r="X342" i="1"/>
  <c r="P58" i="1"/>
  <c r="O77" i="1"/>
  <c r="AL77" i="1"/>
  <c r="V96" i="1"/>
  <c r="AO96" i="1"/>
  <c r="J115" i="1"/>
  <c r="Q115" i="1"/>
  <c r="U115" i="1"/>
  <c r="L153" i="1"/>
  <c r="P153" i="1"/>
  <c r="Z172" i="1"/>
  <c r="H191" i="1"/>
  <c r="AD191" i="1"/>
  <c r="AH191" i="1"/>
  <c r="P248" i="1"/>
  <c r="T248" i="1"/>
  <c r="AP248" i="1"/>
  <c r="O267" i="1"/>
  <c r="AK267" i="1"/>
  <c r="AO267" i="1"/>
  <c r="Y286" i="1"/>
  <c r="AF286" i="1"/>
  <c r="AM305" i="1"/>
  <c r="AL342" i="1"/>
  <c r="W342" i="1"/>
  <c r="Q58" i="1"/>
  <c r="L77" i="1"/>
  <c r="P77" i="1"/>
  <c r="T77" i="1"/>
  <c r="AA96" i="1"/>
  <c r="AE96" i="1"/>
  <c r="AP96" i="1"/>
  <c r="G115" i="1"/>
  <c r="R115" i="1"/>
  <c r="M153" i="1"/>
  <c r="Q153" i="1"/>
  <c r="AE172" i="1"/>
  <c r="AI172" i="1"/>
  <c r="L191" i="1"/>
  <c r="AE191" i="1"/>
  <c r="AI191" i="1"/>
  <c r="D248" i="1"/>
  <c r="AB248" i="1"/>
  <c r="AI248" i="1"/>
  <c r="AM248" i="1"/>
  <c r="L267" i="1"/>
  <c r="P267" i="1"/>
  <c r="T267" i="1"/>
  <c r="X267" i="1"/>
  <c r="K286" i="1"/>
  <c r="O286" i="1"/>
  <c r="W286" i="1"/>
  <c r="Z286" i="1"/>
  <c r="R305" i="1"/>
  <c r="AE342" i="1"/>
  <c r="AM342" i="1"/>
  <c r="AI342" i="1"/>
  <c r="N342" i="1"/>
  <c r="AN342" i="1"/>
  <c r="R58" i="1"/>
  <c r="AK58" i="1"/>
  <c r="M77" i="1"/>
  <c r="Q77" i="1"/>
  <c r="U77" i="1"/>
  <c r="AF77" i="1"/>
  <c r="AI96" i="1"/>
  <c r="AM96" i="1"/>
  <c r="AQ96" i="1"/>
  <c r="AH115" i="1"/>
  <c r="AO115" i="1"/>
  <c r="N153" i="1"/>
  <c r="R153" i="1"/>
  <c r="AK153" i="1"/>
  <c r="AM172" i="1"/>
  <c r="F248" i="1"/>
  <c r="M267" i="1"/>
  <c r="AM267" i="1"/>
  <c r="H286" i="1"/>
  <c r="AA286" i="1"/>
  <c r="L305" i="1"/>
  <c r="AO305" i="1"/>
  <c r="E115" i="1"/>
  <c r="AF342" i="1"/>
  <c r="AJ342" i="1"/>
  <c r="N77" i="1"/>
  <c r="I96" i="1"/>
  <c r="M96" i="1"/>
  <c r="Q96" i="1"/>
  <c r="AB96" i="1"/>
  <c r="AF96" i="1"/>
  <c r="L115" i="1"/>
  <c r="AA115" i="1"/>
  <c r="AL115" i="1"/>
  <c r="G153" i="1"/>
  <c r="V153" i="1"/>
  <c r="AO153" i="1"/>
  <c r="M172" i="1"/>
  <c r="Q172" i="1"/>
  <c r="U172" i="1"/>
  <c r="AF172" i="1"/>
  <c r="AJ172" i="1"/>
  <c r="D191" i="1"/>
  <c r="R342" i="1"/>
  <c r="G77" i="1"/>
  <c r="J96" i="1"/>
  <c r="N172" i="1"/>
  <c r="H210" i="1"/>
  <c r="P210" i="1"/>
  <c r="T210" i="1"/>
  <c r="X210" i="1"/>
  <c r="AA58" i="1"/>
  <c r="AG342" i="1"/>
  <c r="AO342" i="1"/>
  <c r="AH342" i="1"/>
  <c r="AE115" i="1"/>
  <c r="W96" i="1"/>
  <c r="N115" i="1"/>
  <c r="AA153" i="1"/>
  <c r="AI153" i="1"/>
  <c r="F191" i="1"/>
  <c r="L210" i="1"/>
  <c r="AF248" i="1"/>
  <c r="AN248" i="1"/>
  <c r="AI58" i="1"/>
  <c r="P342" i="1"/>
  <c r="V115" i="1"/>
  <c r="G58" i="1"/>
  <c r="K58" i="1"/>
  <c r="AA172" i="1"/>
  <c r="AA191" i="1"/>
  <c r="AQ267" i="1"/>
  <c r="N58" i="1"/>
  <c r="X58" i="1"/>
  <c r="AL58" i="1"/>
  <c r="I77" i="1"/>
  <c r="AG77" i="1"/>
  <c r="D96" i="1"/>
  <c r="AC96" i="1"/>
  <c r="AG96" i="1"/>
  <c r="AB115" i="1"/>
  <c r="X153" i="1"/>
  <c r="AL153" i="1"/>
  <c r="I172" i="1"/>
  <c r="AG172" i="1"/>
  <c r="AK172" i="1"/>
  <c r="J191" i="1"/>
  <c r="M191" i="1"/>
  <c r="Q191" i="1"/>
  <c r="AO191" i="1"/>
  <c r="O210" i="1"/>
  <c r="V210" i="1"/>
  <c r="Z210" i="1"/>
  <c r="AC210" i="1"/>
  <c r="AN210" i="1"/>
  <c r="R248" i="1"/>
  <c r="V248" i="1"/>
  <c r="AC248" i="1"/>
  <c r="AQ248" i="1"/>
  <c r="V267" i="1"/>
  <c r="Z267" i="1"/>
  <c r="AN267" i="1"/>
  <c r="L286" i="1"/>
  <c r="AC286" i="1"/>
  <c r="AQ286" i="1"/>
  <c r="O305" i="1"/>
  <c r="Y305" i="1"/>
  <c r="AP305" i="1"/>
  <c r="G342" i="1"/>
  <c r="H58" i="1"/>
  <c r="Y58" i="1"/>
  <c r="AF58" i="1"/>
  <c r="J77" i="1"/>
  <c r="AH77" i="1"/>
  <c r="F96" i="1"/>
  <c r="AD96" i="1"/>
  <c r="AK96" i="1"/>
  <c r="D115" i="1"/>
  <c r="S115" i="1"/>
  <c r="AC115" i="1"/>
  <c r="AF115" i="1"/>
  <c r="AQ115" i="1"/>
  <c r="O153" i="1"/>
  <c r="Y153" i="1"/>
  <c r="AB153" i="1"/>
  <c r="AF153" i="1"/>
  <c r="J172" i="1"/>
  <c r="AH172" i="1"/>
  <c r="AO172" i="1"/>
  <c r="N191" i="1"/>
  <c r="R191" i="1"/>
  <c r="AF191" i="1"/>
  <c r="AP191" i="1"/>
  <c r="D210" i="1"/>
  <c r="I210" i="1"/>
  <c r="W210" i="1"/>
  <c r="AD210" i="1"/>
  <c r="S248" i="1"/>
  <c r="Z248" i="1"/>
  <c r="AD248" i="1"/>
  <c r="AG248" i="1"/>
  <c r="AK248" i="1"/>
  <c r="W267" i="1"/>
  <c r="AD267" i="1"/>
  <c r="T286" i="1"/>
  <c r="AD286" i="1"/>
  <c r="AG286" i="1"/>
  <c r="AK286" i="1"/>
  <c r="I305" i="1"/>
  <c r="Z305" i="1"/>
  <c r="E172" i="1"/>
  <c r="E153" i="1"/>
  <c r="AC342" i="1"/>
  <c r="Z342" i="1"/>
  <c r="S38" i="1"/>
  <c r="S39" i="1" s="1"/>
  <c r="I342" i="1"/>
  <c r="I58" i="1"/>
  <c r="L58" i="1"/>
  <c r="AC58" i="1"/>
  <c r="AG58" i="1"/>
  <c r="AB77" i="1"/>
  <c r="X96" i="1"/>
  <c r="AL96" i="1"/>
  <c r="I115" i="1"/>
  <c r="AG115" i="1"/>
  <c r="D153" i="1"/>
  <c r="AC153" i="1"/>
  <c r="AG153" i="1"/>
  <c r="AB172" i="1"/>
  <c r="AP172" i="1"/>
  <c r="O191" i="1"/>
  <c r="V191" i="1"/>
  <c r="F210" i="1"/>
  <c r="J210" i="1"/>
  <c r="Q210" i="1"/>
  <c r="AE210" i="1"/>
  <c r="M248" i="1"/>
  <c r="AA248" i="1"/>
  <c r="AH248" i="1"/>
  <c r="AL248" i="1"/>
  <c r="AO248" i="1"/>
  <c r="Q267" i="1"/>
  <c r="AE267" i="1"/>
  <c r="AH286" i="1"/>
  <c r="AL286" i="1"/>
  <c r="J305" i="1"/>
  <c r="AD305" i="1"/>
  <c r="E286" i="1"/>
  <c r="AA342" i="1"/>
  <c r="M342" i="1"/>
  <c r="J342" i="1"/>
  <c r="Y77" i="1"/>
  <c r="AP77" i="1"/>
  <c r="N96" i="1"/>
  <c r="U96" i="1"/>
  <c r="AQ172" i="1"/>
  <c r="P191" i="1"/>
  <c r="Z191" i="1"/>
  <c r="AC191" i="1"/>
  <c r="AG191" i="1"/>
  <c r="AL210" i="1"/>
  <c r="AP210" i="1"/>
  <c r="J248" i="1"/>
  <c r="G267" i="1"/>
  <c r="N267" i="1"/>
  <c r="AL267" i="1"/>
  <c r="AP267" i="1"/>
  <c r="J286" i="1"/>
  <c r="N286" i="1"/>
  <c r="Q286" i="1"/>
  <c r="U286" i="1"/>
  <c r="G305" i="1"/>
  <c r="Q305" i="1"/>
  <c r="AH305" i="1"/>
  <c r="AK305" i="1"/>
  <c r="Q342" i="1"/>
  <c r="K342" i="1"/>
  <c r="M58" i="1"/>
  <c r="S77" i="1"/>
  <c r="AQ77" i="1"/>
  <c r="O96" i="1"/>
  <c r="S172" i="1"/>
  <c r="H267" i="1"/>
  <c r="U267" i="1"/>
  <c r="Y267" i="1"/>
  <c r="AP286" i="1"/>
  <c r="N305" i="1"/>
  <c r="AE305" i="1"/>
  <c r="AB58" i="1"/>
  <c r="L342" i="1"/>
  <c r="AN77" i="1"/>
  <c r="AN115" i="1"/>
  <c r="AN172" i="1"/>
  <c r="M210" i="1"/>
  <c r="Y248" i="1"/>
  <c r="I286" i="1"/>
  <c r="AJ58" i="1"/>
  <c r="X77" i="1"/>
  <c r="AJ96" i="1"/>
  <c r="X115" i="1"/>
  <c r="AJ153" i="1"/>
  <c r="X172" i="1"/>
  <c r="AK191" i="1"/>
  <c r="I248" i="1"/>
  <c r="AC305" i="1"/>
  <c r="T342" i="1"/>
  <c r="O342" i="1"/>
  <c r="T58" i="1"/>
  <c r="H77" i="1"/>
  <c r="T96" i="1"/>
  <c r="H115" i="1"/>
  <c r="T153" i="1"/>
  <c r="H172" i="1"/>
  <c r="U191" i="1"/>
  <c r="AC267" i="1"/>
  <c r="AO286" i="1"/>
  <c r="M305" i="1"/>
  <c r="U342" i="1"/>
  <c r="D3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justice</author>
    <author>小陳　左和子</author>
  </authors>
  <commentList>
    <comment ref="AY2" authorId="0" shapeId="0" xr:uid="{10F3709B-6D29-4E05-8E0C-E5EADC71CE0F}">
      <text>
        <r>
          <rPr>
            <b/>
            <sz val="9"/>
            <color indexed="81"/>
            <rFont val="MS P ゴシック"/>
            <family val="3"/>
            <charset val="128"/>
          </rPr>
          <t>justice:</t>
        </r>
        <r>
          <rPr>
            <sz val="9"/>
            <color indexed="81"/>
            <rFont val="MS P ゴシック"/>
            <family val="3"/>
            <charset val="128"/>
          </rPr>
          <t xml:space="preserve">
r5gakujyutsu-dai-017図書館資料費
→総計→「○○_計」の数値</t>
        </r>
      </text>
    </comment>
    <comment ref="AY12" authorId="0" shapeId="0" xr:uid="{91BD990F-8BD0-457D-BEB2-91D43B2B5598}">
      <text>
        <r>
          <rPr>
            <b/>
            <sz val="9"/>
            <color indexed="81"/>
            <rFont val="MS P ゴシック"/>
            <family val="3"/>
            <charset val="128"/>
          </rPr>
          <t>justice:</t>
        </r>
        <r>
          <rPr>
            <sz val="9"/>
            <color indexed="81"/>
            <rFont val="MS P ゴシック"/>
            <family val="3"/>
            <charset val="128"/>
          </rPr>
          <t xml:space="preserve">
r5gakujyutsu-dai-017図書館資料費
→総平均→「○○_計」の数値</t>
        </r>
      </text>
    </comment>
    <comment ref="U14" authorId="1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報告書原本では49,301(=9,387+39,914)
×9,387 ○9,837
</t>
        </r>
      </text>
    </comment>
    <comment ref="V14" authorId="1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報告書原本では48,543(=9,985+38,558)</t>
        </r>
      </text>
    </comment>
    <comment ref="X288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報告書原本では6,625,303
</t>
        </r>
      </text>
    </comment>
    <comment ref="H307" authorId="1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報告書原本では1,995,695,808</t>
        </r>
      </text>
    </comment>
    <comment ref="W308" authorId="1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報告書原本では1,784,676,719</t>
        </r>
      </text>
    </comment>
    <comment ref="AY309" authorId="0" shapeId="0" xr:uid="{338702DF-E20A-4719-8E72-C5B69F873B14}">
      <text>
        <r>
          <rPr>
            <b/>
            <sz val="9"/>
            <color indexed="81"/>
            <rFont val="MS P ゴシック"/>
            <family val="3"/>
            <charset val="128"/>
          </rPr>
          <t>justice:</t>
        </r>
        <r>
          <rPr>
            <sz val="9"/>
            <color indexed="81"/>
            <rFont val="MS P ゴシック"/>
            <family val="3"/>
            <charset val="128"/>
          </rPr>
          <t xml:space="preserve">
r5gakujyutsu-dai-018図書館室運営費.xlsx
の「大学総経費」</t>
        </r>
      </text>
    </comment>
    <comment ref="H313" authorId="1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報告書原本では79,156,086</t>
        </r>
      </text>
    </comment>
    <comment ref="G318" authorId="1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 xml:space="preserve">報告書原本では1,005,801百万円
</t>
        </r>
      </text>
    </comment>
    <comment ref="H325" authorId="1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>報告書原本では4,504,957</t>
        </r>
      </text>
    </comment>
    <comment ref="H331" authorId="1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>報告書原本では2,398,669</t>
        </r>
      </text>
    </comment>
    <comment ref="AY344" authorId="0" shapeId="0" xr:uid="{4C00274B-96F2-42C5-BD11-491B90BF8E64}">
      <text>
        <r>
          <rPr>
            <b/>
            <sz val="9"/>
            <color indexed="81"/>
            <rFont val="MS P ゴシック"/>
            <family val="3"/>
            <charset val="128"/>
          </rPr>
          <t>justice:</t>
        </r>
        <r>
          <rPr>
            <sz val="9"/>
            <color indexed="81"/>
            <rFont val="MS P ゴシック"/>
            <family val="3"/>
            <charset val="128"/>
          </rPr>
          <t xml:space="preserve">
r5gakujyutsu-dai-002総括事項.xlsx
の「大学数」</t>
        </r>
      </text>
    </comment>
  </commentList>
</comments>
</file>

<file path=xl/sharedStrings.xml><?xml version="1.0" encoding="utf-8"?>
<sst xmlns="http://schemas.openxmlformats.org/spreadsheetml/2006/main" count="470" uniqueCount="93">
  <si>
    <t>国立</t>
    <rPh sb="0" eb="2">
      <t>コクリツ</t>
    </rPh>
    <phoneticPr fontId="2"/>
  </si>
  <si>
    <t>全体</t>
    <rPh sb="0" eb="2">
      <t>ゼンタイ</t>
    </rPh>
    <phoneticPr fontId="2"/>
  </si>
  <si>
    <t>D（単科大学）</t>
    <phoneticPr fontId="2"/>
  </si>
  <si>
    <t>A（8学部以上）</t>
    <phoneticPr fontId="2"/>
  </si>
  <si>
    <t>B（5～7学部）</t>
    <phoneticPr fontId="2"/>
  </si>
  <si>
    <t>C（2～4学部）</t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</si>
  <si>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</si>
  <si>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</si>
  <si>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図書</t>
    <rPh sb="0" eb="2">
      <t>トショ</t>
    </rPh>
    <phoneticPr fontId="2"/>
  </si>
  <si>
    <t>雑誌</t>
    <rPh sb="0" eb="2">
      <t>ザッシ</t>
    </rPh>
    <phoneticPr fontId="2"/>
  </si>
  <si>
    <t>その他</t>
    <rPh sb="2" eb="3">
      <t>タ</t>
    </rPh>
    <phoneticPr fontId="2"/>
  </si>
  <si>
    <t>電子ジャーナル</t>
    <rPh sb="0" eb="2">
      <t>デンシ</t>
    </rPh>
    <phoneticPr fontId="2"/>
  </si>
  <si>
    <t>対大学総経費比率</t>
    <rPh sb="0" eb="1">
      <t>タイ</t>
    </rPh>
    <rPh sb="1" eb="3">
      <t>ダイガク</t>
    </rPh>
    <rPh sb="3" eb="6">
      <t>ソウケイヒ</t>
    </rPh>
    <rPh sb="6" eb="8">
      <t>ヒリツ</t>
    </rPh>
    <phoneticPr fontId="6"/>
  </si>
  <si>
    <t>大学総経費</t>
    <rPh sb="0" eb="5">
      <t>ダイガクソウケイヒ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</si>
  <si>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</si>
  <si>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</si>
  <si>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</si>
  <si>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合計</t>
    <rPh sb="0" eb="2">
      <t>ゴウケイ</t>
    </rPh>
    <phoneticPr fontId="2"/>
  </si>
  <si>
    <t>全体</t>
    <rPh sb="0" eb="2">
      <t>ゼンタイ</t>
    </rPh>
    <phoneticPr fontId="2"/>
  </si>
  <si>
    <t>大学数</t>
    <rPh sb="0" eb="3">
      <t>ダイガクスウ</t>
    </rPh>
    <phoneticPr fontId="2"/>
  </si>
  <si>
    <t>1大学平均</t>
    <rPh sb="1" eb="3">
      <t>ダイガク</t>
    </rPh>
    <rPh sb="3" eb="5">
      <t>ヘイキン</t>
    </rPh>
    <phoneticPr fontId="2"/>
  </si>
  <si>
    <t>（千円）</t>
    <rPh sb="1" eb="3">
      <t>センエン</t>
    </rPh>
    <phoneticPr fontId="2"/>
  </si>
  <si>
    <t>2013</t>
    <phoneticPr fontId="2"/>
  </si>
  <si>
    <t>電子書籍</t>
    <rPh sb="0" eb="2">
      <t>デンシ</t>
    </rPh>
    <rPh sb="2" eb="4">
      <t>ショセキ</t>
    </rPh>
    <phoneticPr fontId="2"/>
  </si>
  <si>
    <t>データベース</t>
    <phoneticPr fontId="2"/>
  </si>
  <si>
    <t>データベース</t>
    <phoneticPr fontId="2"/>
  </si>
  <si>
    <t>電子書籍</t>
    <rPh sb="0" eb="4">
      <t>デンシショセキ</t>
    </rPh>
    <phoneticPr fontId="2"/>
  </si>
  <si>
    <t>2014</t>
    <phoneticPr fontId="2"/>
  </si>
  <si>
    <t>A 1大学平均</t>
    <rPh sb="3" eb="5">
      <t>ダイガク</t>
    </rPh>
    <rPh sb="5" eb="7">
      <t>ヘイキン</t>
    </rPh>
    <phoneticPr fontId="2"/>
  </si>
  <si>
    <t>B 1大学平均</t>
    <rPh sb="3" eb="5">
      <t>ダイガク</t>
    </rPh>
    <rPh sb="5" eb="7">
      <t>ヘイキン</t>
    </rPh>
    <phoneticPr fontId="2"/>
  </si>
  <si>
    <t>C 1大学平均</t>
    <rPh sb="3" eb="5">
      <t>ダイガク</t>
    </rPh>
    <rPh sb="5" eb="7">
      <t>ヘイキン</t>
    </rPh>
    <phoneticPr fontId="2"/>
  </si>
  <si>
    <t>D 1大学平均</t>
    <rPh sb="3" eb="5">
      <t>ダイガク</t>
    </rPh>
    <rPh sb="5" eb="7">
      <t>ヘイキン</t>
    </rPh>
    <phoneticPr fontId="2"/>
  </si>
  <si>
    <t>90</t>
    <phoneticPr fontId="2"/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</si>
  <si>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</si>
  <si>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</si>
  <si>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</si>
  <si>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</si>
  <si>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</si>
  <si>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</si>
  <si>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</si>
  <si>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</si>
  <si>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</si>
  <si>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2000</t>
    <phoneticPr fontId="2"/>
  </si>
  <si>
    <t>01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</si>
  <si>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</si>
  <si>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</si>
  <si>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</si>
  <si>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</si>
  <si>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</si>
  <si>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</si>
  <si>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</si>
  <si>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</si>
  <si>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</si>
  <si>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</si>
  <si>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</si>
  <si>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</si>
  <si>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</si>
  <si>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国立 全体</t>
    <rPh sb="0" eb="2">
      <t>コクリツ</t>
    </rPh>
    <rPh sb="3" eb="5">
      <t>ゼンタイ</t>
    </rPh>
    <phoneticPr fontId="2"/>
  </si>
  <si>
    <t>国立 A</t>
    <rPh sb="0" eb="2">
      <t>コクリツ</t>
    </rPh>
    <phoneticPr fontId="2"/>
  </si>
  <si>
    <t>国立 B</t>
    <rPh sb="0" eb="2">
      <t>コクリツ</t>
    </rPh>
    <phoneticPr fontId="2"/>
  </si>
  <si>
    <t>国立 C</t>
    <rPh sb="0" eb="2">
      <t>コクリツ</t>
    </rPh>
    <phoneticPr fontId="2"/>
  </si>
  <si>
    <t>国立 D</t>
    <rPh sb="0" eb="2">
      <t>コクリツ</t>
    </rPh>
    <phoneticPr fontId="2"/>
  </si>
  <si>
    <t>公立 A</t>
    <rPh sb="0" eb="2">
      <t>コウリツ</t>
    </rPh>
    <phoneticPr fontId="2"/>
  </si>
  <si>
    <t>公立 全体</t>
    <rPh sb="0" eb="2">
      <t>コウリツ</t>
    </rPh>
    <rPh sb="3" eb="5">
      <t>ゼンタイ</t>
    </rPh>
    <phoneticPr fontId="2"/>
  </si>
  <si>
    <t>公立 B</t>
    <rPh sb="0" eb="2">
      <t>コウリツ</t>
    </rPh>
    <phoneticPr fontId="2"/>
  </si>
  <si>
    <t>公立 C</t>
    <rPh sb="0" eb="2">
      <t>コウリツ</t>
    </rPh>
    <phoneticPr fontId="2"/>
  </si>
  <si>
    <t>公立 D</t>
    <rPh sb="0" eb="2">
      <t>コウリツ</t>
    </rPh>
    <phoneticPr fontId="2"/>
  </si>
  <si>
    <t>私立 全体</t>
    <rPh sb="0" eb="2">
      <t>シリツ</t>
    </rPh>
    <rPh sb="3" eb="5">
      <t>ゼンタイ</t>
    </rPh>
    <phoneticPr fontId="2"/>
  </si>
  <si>
    <t>私立 A</t>
    <rPh sb="0" eb="2">
      <t>シリツ</t>
    </rPh>
    <phoneticPr fontId="2"/>
  </si>
  <si>
    <t>私立 B</t>
    <rPh sb="0" eb="2">
      <t>シリツ</t>
    </rPh>
    <phoneticPr fontId="2"/>
  </si>
  <si>
    <t>私立 C</t>
    <rPh sb="0" eb="2">
      <t>シリツ</t>
    </rPh>
    <phoneticPr fontId="2"/>
  </si>
  <si>
    <t>私立 D</t>
    <rPh sb="0" eb="2">
      <t>シリツ</t>
    </rPh>
    <phoneticPr fontId="2"/>
  </si>
  <si>
    <t>文部科学省（旧文部省）の「学術情報基盤実態調査結果報告」（旧「大学図書館実態調査結果報告」）による〔JUSTICE事務局作成〕</t>
    <rPh sb="0" eb="2">
      <t>モンブ</t>
    </rPh>
    <rPh sb="2" eb="5">
      <t>カガクショウ</t>
    </rPh>
    <rPh sb="6" eb="7">
      <t>キュウ</t>
    </rPh>
    <rPh sb="7" eb="10">
      <t>モンブショウ</t>
    </rPh>
    <rPh sb="13" eb="17">
      <t>ガクジュツジョウホウ</t>
    </rPh>
    <rPh sb="17" eb="19">
      <t>キバン</t>
    </rPh>
    <rPh sb="19" eb="21">
      <t>ジッタイ</t>
    </rPh>
    <rPh sb="21" eb="23">
      <t>チョウサ</t>
    </rPh>
    <rPh sb="23" eb="25">
      <t>ケッカ</t>
    </rPh>
    <rPh sb="25" eb="27">
      <t>ホウコク</t>
    </rPh>
    <rPh sb="29" eb="30">
      <t>キュウ</t>
    </rPh>
    <rPh sb="31" eb="33">
      <t>ダイガク</t>
    </rPh>
    <rPh sb="33" eb="36">
      <t>トショカン</t>
    </rPh>
    <rPh sb="36" eb="38">
      <t>ジッタイ</t>
    </rPh>
    <rPh sb="38" eb="40">
      <t>チョウサ</t>
    </rPh>
    <rPh sb="40" eb="42">
      <t>ケッカ</t>
    </rPh>
    <rPh sb="42" eb="44">
      <t>ホウコク</t>
    </rPh>
    <rPh sb="57" eb="60">
      <t>ジムキョク</t>
    </rPh>
    <rPh sb="60" eb="62">
      <t>サクセイ</t>
    </rPh>
    <phoneticPr fontId="2"/>
  </si>
  <si>
    <t>全体 平均</t>
    <rPh sb="0" eb="2">
      <t>ゼンタイ</t>
    </rPh>
    <rPh sb="3" eb="5">
      <t>ヘイキン</t>
    </rPh>
    <phoneticPr fontId="2"/>
  </si>
  <si>
    <t>国立 平均</t>
    <rPh sb="0" eb="2">
      <t>コクリツ</t>
    </rPh>
    <rPh sb="3" eb="5">
      <t>ヘイキン</t>
    </rPh>
    <phoneticPr fontId="2"/>
  </si>
  <si>
    <t>公立 平均</t>
    <rPh sb="0" eb="2">
      <t>コウリツ</t>
    </rPh>
    <rPh sb="3" eb="5">
      <t>ヘイキン</t>
    </rPh>
    <phoneticPr fontId="2"/>
  </si>
  <si>
    <t>私立 平均</t>
    <rPh sb="0" eb="2">
      <t>シリツ</t>
    </rPh>
    <rPh sb="3" eb="5">
      <t>ヘイキン</t>
    </rPh>
    <phoneticPr fontId="2"/>
  </si>
  <si>
    <t>2015</t>
    <phoneticPr fontId="2"/>
  </si>
  <si>
    <t>15</t>
    <phoneticPr fontId="2"/>
  </si>
  <si>
    <t>2016</t>
  </si>
  <si>
    <t>16</t>
  </si>
  <si>
    <t>2017</t>
    <phoneticPr fontId="2"/>
  </si>
  <si>
    <t>17</t>
    <phoneticPr fontId="2"/>
  </si>
  <si>
    <t>2018</t>
    <phoneticPr fontId="2"/>
  </si>
  <si>
    <t>18</t>
    <phoneticPr fontId="2"/>
  </si>
  <si>
    <t>2019</t>
  </si>
  <si>
    <t>19</t>
  </si>
  <si>
    <t>2020</t>
    <phoneticPr fontId="2"/>
  </si>
  <si>
    <t>20</t>
    <phoneticPr fontId="2"/>
  </si>
  <si>
    <t>21</t>
    <phoneticPr fontId="2"/>
  </si>
  <si>
    <t>2021</t>
    <phoneticPr fontId="2"/>
  </si>
  <si>
    <t>2022</t>
    <phoneticPr fontId="2"/>
  </si>
  <si>
    <t>22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</si>
</sst>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.000;[Red]\-#,##0.000"/>
    <numFmt numFmtId="178" formatCode="#,##0_ "/>
  </numFmts>
  <fonts count="15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theme="1"/>
      <name val="メイリオ"/>
      <family val="3"/>
      <charset val="128"/>
    </font>
    <font>
      <sz val="9"/>
      <color indexed="81"/>
      <name val="MS P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9" tint="-0.249977111117893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n">
        <color theme="9" tint="-0.24994659260841701"/>
      </bottom>
      <diagonal/>
    </border>
  </borders>
  <cellStyleXfs count="233">
    <xf numFmtId="0" fontId="0" fillId="0" borderId="0"/>
    <xf numFmtId="38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176" fontId="7" fillId="0" borderId="0" xfId="1" applyNumberFormat="1" applyFont="1" applyAlignment="1">
      <alignment vertical="center"/>
    </xf>
    <xf numFmtId="38" fontId="7" fillId="0" borderId="0" xfId="1" applyFont="1" applyBorder="1" applyAlignment="1">
      <alignment vertical="center"/>
    </xf>
    <xf numFmtId="49" fontId="7" fillId="2" borderId="0" xfId="0" applyNumberFormat="1" applyFont="1" applyFill="1" applyAlignment="1">
      <alignment horizontal="center" vertical="center"/>
    </xf>
    <xf numFmtId="40" fontId="7" fillId="0" borderId="0" xfId="1" applyNumberFormat="1" applyFont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vertical="center"/>
    </xf>
    <xf numFmtId="0" fontId="7" fillId="7" borderId="0" xfId="0" applyFont="1" applyFill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0" fontId="11" fillId="0" borderId="0" xfId="0" applyFont="1" applyAlignment="1">
      <alignment horizontal="right"/>
    </xf>
    <xf numFmtId="38" fontId="7" fillId="0" borderId="1" xfId="1" applyFont="1" applyFill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38" fontId="7" fillId="0" borderId="0" xfId="1" applyFont="1" applyFill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9" fillId="0" borderId="0" xfId="1" applyFont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38" fontId="9" fillId="0" borderId="0" xfId="1" applyFont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10" fillId="0" borderId="0" xfId="1" applyFont="1" applyFill="1" applyBorder="1" applyAlignment="1" applyProtection="1">
      <alignment horizontal="right" vertical="center"/>
    </xf>
    <xf numFmtId="38" fontId="7" fillId="0" borderId="0" xfId="1" applyFont="1" applyBorder="1" applyAlignment="1">
      <alignment horizontal="right" vertical="center"/>
    </xf>
    <xf numFmtId="178" fontId="13" fillId="0" borderId="0" xfId="0" applyNumberFormat="1" applyFont="1" applyAlignment="1">
      <alignment horizontal="right" vertical="center"/>
    </xf>
    <xf numFmtId="38" fontId="7" fillId="0" borderId="2" xfId="1" applyFont="1" applyBorder="1" applyAlignment="1">
      <alignment vertical="center"/>
    </xf>
    <xf numFmtId="177" fontId="7" fillId="0" borderId="0" xfId="1" applyNumberFormat="1" applyFont="1" applyFill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8" fontId="7" fillId="0" borderId="3" xfId="1" applyFont="1" applyBorder="1" applyAlignment="1">
      <alignment vertical="center"/>
    </xf>
  </cellXfs>
  <cellStyles count="233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桁区切り" xfId="1" builtinId="6"/>
    <cellStyle name="標準" xfId="0" builtinId="0"/>
    <cellStyle name="標準 2" xfId="22" xr:uid="{00000000-0005-0000-0000-000075000000}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図書館資料費の推移</a:t>
            </a:r>
            <a:r>
              <a:rPr lang="ja-JP" altLang="en-US" baseline="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： 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国公私立大学 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1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大学あたり平均額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2493737373737399E-2"/>
          <c:y val="0.100394278908969"/>
          <c:w val="0.91354797979797997"/>
          <c:h val="0.84462266005295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データシート!$C$13</c:f>
              <c:strCache>
                <c:ptCount val="1"/>
                <c:pt idx="0">
                  <c:v>図書</c:v>
                </c:pt>
              </c:strCache>
            </c:strRef>
          </c:tx>
          <c:invertIfNegative val="0"/>
          <c:cat>
            <c:strRef>
              <c:f>データシート!$D$12:$AY$12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データシート!$D$13:$AY$13</c:f>
              <c:numCache>
                <c:formatCode>#,##0_);[Red]\(#,##0\)</c:formatCode>
                <c:ptCount val="48"/>
                <c:pt idx="0">
                  <c:v>33142</c:v>
                </c:pt>
                <c:pt idx="1">
                  <c:v>37399</c:v>
                </c:pt>
                <c:pt idx="2">
                  <c:v>41526</c:v>
                </c:pt>
                <c:pt idx="3">
                  <c:v>48024</c:v>
                </c:pt>
                <c:pt idx="4">
                  <c:v>52081</c:v>
                </c:pt>
                <c:pt idx="5">
                  <c:v>57433</c:v>
                </c:pt>
                <c:pt idx="6">
                  <c:v>61249</c:v>
                </c:pt>
                <c:pt idx="7">
                  <c:v>61536</c:v>
                </c:pt>
                <c:pt idx="8">
                  <c:v>61151</c:v>
                </c:pt>
                <c:pt idx="9">
                  <c:v>63742</c:v>
                </c:pt>
                <c:pt idx="10">
                  <c:v>66078</c:v>
                </c:pt>
                <c:pt idx="11">
                  <c:v>63921</c:v>
                </c:pt>
                <c:pt idx="12">
                  <c:v>68488</c:v>
                </c:pt>
                <c:pt idx="13">
                  <c:v>65983</c:v>
                </c:pt>
                <c:pt idx="14">
                  <c:v>67847</c:v>
                </c:pt>
                <c:pt idx="15">
                  <c:v>68120</c:v>
                </c:pt>
                <c:pt idx="16">
                  <c:v>66485</c:v>
                </c:pt>
                <c:pt idx="17">
                  <c:v>69716</c:v>
                </c:pt>
                <c:pt idx="18">
                  <c:v>67079</c:v>
                </c:pt>
                <c:pt idx="19">
                  <c:v>65303</c:v>
                </c:pt>
                <c:pt idx="20">
                  <c:v>64398</c:v>
                </c:pt>
                <c:pt idx="21">
                  <c:v>62251</c:v>
                </c:pt>
                <c:pt idx="22">
                  <c:v>61059</c:v>
                </c:pt>
                <c:pt idx="23">
                  <c:v>56992</c:v>
                </c:pt>
                <c:pt idx="24">
                  <c:v>59943</c:v>
                </c:pt>
                <c:pt idx="25">
                  <c:v>53357</c:v>
                </c:pt>
                <c:pt idx="26">
                  <c:v>49527</c:v>
                </c:pt>
                <c:pt idx="27">
                  <c:v>45670</c:v>
                </c:pt>
                <c:pt idx="28">
                  <c:v>45857</c:v>
                </c:pt>
                <c:pt idx="29">
                  <c:v>41760</c:v>
                </c:pt>
                <c:pt idx="30">
                  <c:v>40368</c:v>
                </c:pt>
                <c:pt idx="31">
                  <c:v>37998</c:v>
                </c:pt>
                <c:pt idx="32">
                  <c:v>35905</c:v>
                </c:pt>
                <c:pt idx="33">
                  <c:v>33971</c:v>
                </c:pt>
                <c:pt idx="34">
                  <c:v>33852</c:v>
                </c:pt>
                <c:pt idx="35">
                  <c:v>30997</c:v>
                </c:pt>
                <c:pt idx="36">
                  <c:v>29220</c:v>
                </c:pt>
                <c:pt idx="37">
                  <c:v>28283</c:v>
                </c:pt>
                <c:pt idx="38">
                  <c:v>26842</c:v>
                </c:pt>
                <c:pt idx="39">
                  <c:v>25119</c:v>
                </c:pt>
                <c:pt idx="40">
                  <c:v>24860</c:v>
                </c:pt>
                <c:pt idx="41">
                  <c:v>21648.026819923372</c:v>
                </c:pt>
                <c:pt idx="42">
                  <c:v>21151</c:v>
                </c:pt>
                <c:pt idx="43">
                  <c:v>19817</c:v>
                </c:pt>
                <c:pt idx="44">
                  <c:v>18236.671660423999</c:v>
                </c:pt>
                <c:pt idx="45">
                  <c:v>16973.414091470953</c:v>
                </c:pt>
                <c:pt idx="46">
                  <c:v>16224</c:v>
                </c:pt>
                <c:pt idx="47">
                  <c:v>15004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9-4F3B-B243-A8C95D6F8E94}"/>
            </c:ext>
          </c:extLst>
        </c:ser>
        <c:ser>
          <c:idx val="3"/>
          <c:order val="1"/>
          <c:tx>
            <c:strRef>
              <c:f>データシート!$C$14</c:f>
              <c:strCache>
                <c:ptCount val="1"/>
                <c:pt idx="0">
                  <c:v>雑誌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strRef>
              <c:f>データシート!$D$12:$AY$12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データシート!$D$14:$AY$14</c:f>
              <c:numCache>
                <c:formatCode>#,##0_);[Red]\(#,##0\)</c:formatCode>
                <c:ptCount val="48"/>
                <c:pt idx="0">
                  <c:v>17939</c:v>
                </c:pt>
                <c:pt idx="1">
                  <c:v>21104</c:v>
                </c:pt>
                <c:pt idx="2">
                  <c:v>22093</c:v>
                </c:pt>
                <c:pt idx="3">
                  <c:v>23766</c:v>
                </c:pt>
                <c:pt idx="4">
                  <c:v>24369</c:v>
                </c:pt>
                <c:pt idx="5">
                  <c:v>29278</c:v>
                </c:pt>
                <c:pt idx="6">
                  <c:v>32764</c:v>
                </c:pt>
                <c:pt idx="7">
                  <c:v>36766</c:v>
                </c:pt>
                <c:pt idx="8">
                  <c:v>40732</c:v>
                </c:pt>
                <c:pt idx="9">
                  <c:v>39461</c:v>
                </c:pt>
                <c:pt idx="10">
                  <c:v>40837</c:v>
                </c:pt>
                <c:pt idx="11">
                  <c:v>41547</c:v>
                </c:pt>
                <c:pt idx="12">
                  <c:v>40118</c:v>
                </c:pt>
                <c:pt idx="13">
                  <c:v>41767</c:v>
                </c:pt>
                <c:pt idx="14">
                  <c:v>42100</c:v>
                </c:pt>
                <c:pt idx="15">
                  <c:v>46325</c:v>
                </c:pt>
                <c:pt idx="16">
                  <c:v>48891</c:v>
                </c:pt>
                <c:pt idx="17">
                  <c:v>49751</c:v>
                </c:pt>
                <c:pt idx="18">
                  <c:v>49543</c:v>
                </c:pt>
                <c:pt idx="19">
                  <c:v>46147</c:v>
                </c:pt>
                <c:pt idx="20">
                  <c:v>46380</c:v>
                </c:pt>
                <c:pt idx="21">
                  <c:v>48894</c:v>
                </c:pt>
                <c:pt idx="22">
                  <c:v>52374</c:v>
                </c:pt>
                <c:pt idx="23">
                  <c:v>55366</c:v>
                </c:pt>
                <c:pt idx="24">
                  <c:v>56964</c:v>
                </c:pt>
                <c:pt idx="25">
                  <c:v>51301</c:v>
                </c:pt>
                <c:pt idx="26">
                  <c:v>49291</c:v>
                </c:pt>
                <c:pt idx="27">
                  <c:v>50503</c:v>
                </c:pt>
                <c:pt idx="28">
                  <c:v>51179</c:v>
                </c:pt>
                <c:pt idx="29">
                  <c:v>56935</c:v>
                </c:pt>
                <c:pt idx="30">
                  <c:v>39137</c:v>
                </c:pt>
                <c:pt idx="31">
                  <c:v>36925</c:v>
                </c:pt>
                <c:pt idx="32">
                  <c:v>33576</c:v>
                </c:pt>
                <c:pt idx="33">
                  <c:v>30347</c:v>
                </c:pt>
                <c:pt idx="34">
                  <c:v>26084</c:v>
                </c:pt>
                <c:pt idx="35">
                  <c:v>22710</c:v>
                </c:pt>
                <c:pt idx="36">
                  <c:v>20802</c:v>
                </c:pt>
                <c:pt idx="37">
                  <c:v>18938</c:v>
                </c:pt>
                <c:pt idx="38">
                  <c:v>18587</c:v>
                </c:pt>
                <c:pt idx="39">
                  <c:v>19175</c:v>
                </c:pt>
                <c:pt idx="40">
                  <c:v>18808</c:v>
                </c:pt>
                <c:pt idx="41">
                  <c:v>16934.934865900384</c:v>
                </c:pt>
                <c:pt idx="42">
                  <c:v>15510</c:v>
                </c:pt>
                <c:pt idx="43">
                  <c:v>14610</c:v>
                </c:pt>
                <c:pt idx="44">
                  <c:v>13735.72659176</c:v>
                </c:pt>
                <c:pt idx="45">
                  <c:v>12803.939431396786</c:v>
                </c:pt>
                <c:pt idx="46">
                  <c:v>12303</c:v>
                </c:pt>
                <c:pt idx="47">
                  <c:v>12183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79-4F3B-B243-A8C95D6F8E94}"/>
            </c:ext>
          </c:extLst>
        </c:ser>
        <c:ser>
          <c:idx val="1"/>
          <c:order val="2"/>
          <c:tx>
            <c:strRef>
              <c:f>データシート!$C$15</c:f>
              <c:strCache>
                <c:ptCount val="1"/>
                <c:pt idx="0">
                  <c:v>電子ジャーナル</c:v>
                </c:pt>
              </c:strCache>
            </c:strRef>
          </c:tx>
          <c:invertIfNegative val="0"/>
          <c:cat>
            <c:strRef>
              <c:f>データシート!$D$12:$AY$12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データシート!$D$15:$AY$15</c:f>
              <c:numCache>
                <c:formatCode>#,##0_);[Red]\(#,##0\)</c:formatCode>
                <c:ptCount val="48"/>
                <c:pt idx="29">
                  <c:v>8656</c:v>
                </c:pt>
                <c:pt idx="30">
                  <c:v>12364</c:v>
                </c:pt>
                <c:pt idx="31">
                  <c:v>16291</c:v>
                </c:pt>
                <c:pt idx="32">
                  <c:v>20646</c:v>
                </c:pt>
                <c:pt idx="33">
                  <c:v>24262</c:v>
                </c:pt>
                <c:pt idx="34">
                  <c:v>26392</c:v>
                </c:pt>
                <c:pt idx="35">
                  <c:v>26937</c:v>
                </c:pt>
                <c:pt idx="36">
                  <c:v>27989</c:v>
                </c:pt>
                <c:pt idx="37">
                  <c:v>29389</c:v>
                </c:pt>
                <c:pt idx="38">
                  <c:v>31574</c:v>
                </c:pt>
                <c:pt idx="39">
                  <c:v>35391</c:v>
                </c:pt>
                <c:pt idx="40">
                  <c:v>37875</c:v>
                </c:pt>
                <c:pt idx="41">
                  <c:v>38623.45593869732</c:v>
                </c:pt>
                <c:pt idx="42">
                  <c:v>37831</c:v>
                </c:pt>
                <c:pt idx="43">
                  <c:v>39741</c:v>
                </c:pt>
                <c:pt idx="44">
                  <c:v>40567.651685393001</c:v>
                </c:pt>
                <c:pt idx="45">
                  <c:v>40252.914709517921</c:v>
                </c:pt>
                <c:pt idx="46">
                  <c:v>40512</c:v>
                </c:pt>
                <c:pt idx="47">
                  <c:v>43643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79-4F3B-B243-A8C95D6F8E94}"/>
            </c:ext>
          </c:extLst>
        </c:ser>
        <c:ser>
          <c:idx val="2"/>
          <c:order val="3"/>
          <c:tx>
            <c:strRef>
              <c:f>データシート!$C$16</c:f>
              <c:strCache>
                <c:ptCount val="1"/>
                <c:pt idx="0">
                  <c:v>電子書籍</c:v>
                </c:pt>
              </c:strCache>
            </c:strRef>
          </c:tx>
          <c:invertIfNegative val="0"/>
          <c:cat>
            <c:strRef>
              <c:f>データシート!$D$12:$AY$12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データシート!$D$16:$AY$16</c:f>
              <c:numCache>
                <c:formatCode>#,##0_);[Red]\(#,##0\)</c:formatCode>
                <c:ptCount val="48"/>
                <c:pt idx="35">
                  <c:v>846</c:v>
                </c:pt>
                <c:pt idx="36">
                  <c:v>939</c:v>
                </c:pt>
                <c:pt idx="37">
                  <c:v>1300</c:v>
                </c:pt>
                <c:pt idx="38">
                  <c:v>1212</c:v>
                </c:pt>
                <c:pt idx="39">
                  <c:v>1320</c:v>
                </c:pt>
                <c:pt idx="40">
                  <c:v>1369</c:v>
                </c:pt>
                <c:pt idx="41">
                  <c:v>1617.6666666666667</c:v>
                </c:pt>
                <c:pt idx="42">
                  <c:v>1961</c:v>
                </c:pt>
                <c:pt idx="43">
                  <c:v>1956</c:v>
                </c:pt>
                <c:pt idx="44">
                  <c:v>2105.6329588015001</c:v>
                </c:pt>
                <c:pt idx="45">
                  <c:v>3529.3040791100125</c:v>
                </c:pt>
                <c:pt idx="46">
                  <c:v>3506</c:v>
                </c:pt>
                <c:pt idx="47">
                  <c:v>2898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79-4F3B-B243-A8C95D6F8E94}"/>
            </c:ext>
          </c:extLst>
        </c:ser>
        <c:ser>
          <c:idx val="4"/>
          <c:order val="4"/>
          <c:tx>
            <c:strRef>
              <c:f>データシート!$C$17</c:f>
              <c:strCache>
                <c:ptCount val="1"/>
                <c:pt idx="0">
                  <c:v>データベース</c:v>
                </c:pt>
              </c:strCache>
            </c:strRef>
          </c:tx>
          <c:invertIfNegative val="0"/>
          <c:cat>
            <c:strRef>
              <c:f>データシート!$D$12:$AY$12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データシート!$D$17:$AY$17</c:f>
              <c:numCache>
                <c:formatCode>#,##0_);[Red]\(#,##0\)</c:formatCode>
                <c:ptCount val="48"/>
                <c:pt idx="35">
                  <c:v>6925</c:v>
                </c:pt>
                <c:pt idx="36">
                  <c:v>7506</c:v>
                </c:pt>
                <c:pt idx="37">
                  <c:v>7852</c:v>
                </c:pt>
                <c:pt idx="38">
                  <c:v>8714</c:v>
                </c:pt>
                <c:pt idx="39">
                  <c:v>9211</c:v>
                </c:pt>
                <c:pt idx="40">
                  <c:v>9693</c:v>
                </c:pt>
                <c:pt idx="41">
                  <c:v>9806.4891443167307</c:v>
                </c:pt>
                <c:pt idx="42">
                  <c:v>10079</c:v>
                </c:pt>
                <c:pt idx="43">
                  <c:v>10341</c:v>
                </c:pt>
                <c:pt idx="44">
                  <c:v>10931.305867665</c:v>
                </c:pt>
                <c:pt idx="45">
                  <c:v>11168.396786155748</c:v>
                </c:pt>
                <c:pt idx="46">
                  <c:v>11711</c:v>
                </c:pt>
                <c:pt idx="47">
                  <c:v>12228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79-4F3B-B243-A8C95D6F8E94}"/>
            </c:ext>
          </c:extLst>
        </c:ser>
        <c:ser>
          <c:idx val="5"/>
          <c:order val="5"/>
          <c:tx>
            <c:strRef>
              <c:f>データシート!$C$18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データシート!$D$12:$AY$12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データシート!$D$18:$AY$18</c:f>
              <c:numCache>
                <c:formatCode>#,##0_);[Red]\(#,##0\)</c:formatCode>
                <c:ptCount val="48"/>
                <c:pt idx="0">
                  <c:v>1513</c:v>
                </c:pt>
                <c:pt idx="1">
                  <c:v>1700</c:v>
                </c:pt>
                <c:pt idx="2">
                  <c:v>2182</c:v>
                </c:pt>
                <c:pt idx="3">
                  <c:v>2826</c:v>
                </c:pt>
                <c:pt idx="4">
                  <c:v>3313</c:v>
                </c:pt>
                <c:pt idx="5">
                  <c:v>3662</c:v>
                </c:pt>
                <c:pt idx="6">
                  <c:v>4122</c:v>
                </c:pt>
                <c:pt idx="7">
                  <c:v>4651</c:v>
                </c:pt>
                <c:pt idx="8">
                  <c:v>5247</c:v>
                </c:pt>
                <c:pt idx="9">
                  <c:v>5942</c:v>
                </c:pt>
                <c:pt idx="10">
                  <c:v>5714</c:v>
                </c:pt>
                <c:pt idx="11">
                  <c:v>6068</c:v>
                </c:pt>
                <c:pt idx="12">
                  <c:v>7069</c:v>
                </c:pt>
                <c:pt idx="13">
                  <c:v>6580</c:v>
                </c:pt>
                <c:pt idx="14">
                  <c:v>6820</c:v>
                </c:pt>
                <c:pt idx="15">
                  <c:v>7655</c:v>
                </c:pt>
                <c:pt idx="16">
                  <c:v>7874</c:v>
                </c:pt>
                <c:pt idx="17">
                  <c:v>8804</c:v>
                </c:pt>
                <c:pt idx="18">
                  <c:v>9442</c:v>
                </c:pt>
                <c:pt idx="19">
                  <c:v>10865</c:v>
                </c:pt>
                <c:pt idx="20">
                  <c:v>10864</c:v>
                </c:pt>
                <c:pt idx="21">
                  <c:v>10762</c:v>
                </c:pt>
                <c:pt idx="22">
                  <c:v>11206</c:v>
                </c:pt>
                <c:pt idx="23">
                  <c:v>11136</c:v>
                </c:pt>
                <c:pt idx="24">
                  <c:v>11750</c:v>
                </c:pt>
                <c:pt idx="25">
                  <c:v>10965</c:v>
                </c:pt>
                <c:pt idx="26">
                  <c:v>10466</c:v>
                </c:pt>
                <c:pt idx="27">
                  <c:v>10814</c:v>
                </c:pt>
                <c:pt idx="28">
                  <c:v>11914</c:v>
                </c:pt>
                <c:pt idx="29">
                  <c:v>7991</c:v>
                </c:pt>
                <c:pt idx="30">
                  <c:v>8540</c:v>
                </c:pt>
                <c:pt idx="31">
                  <c:v>8766</c:v>
                </c:pt>
                <c:pt idx="32">
                  <c:v>9304</c:v>
                </c:pt>
                <c:pt idx="33">
                  <c:v>9395</c:v>
                </c:pt>
                <c:pt idx="34">
                  <c:v>10245</c:v>
                </c:pt>
                <c:pt idx="35">
                  <c:v>4630</c:v>
                </c:pt>
                <c:pt idx="36">
                  <c:v>4184</c:v>
                </c:pt>
                <c:pt idx="37">
                  <c:v>4092</c:v>
                </c:pt>
                <c:pt idx="38">
                  <c:v>3641</c:v>
                </c:pt>
                <c:pt idx="39">
                  <c:v>3445</c:v>
                </c:pt>
                <c:pt idx="40">
                  <c:v>3283</c:v>
                </c:pt>
                <c:pt idx="41">
                  <c:v>3190.8275862068967</c:v>
                </c:pt>
                <c:pt idx="42">
                  <c:v>4236</c:v>
                </c:pt>
                <c:pt idx="43">
                  <c:v>2948</c:v>
                </c:pt>
                <c:pt idx="44">
                  <c:v>2967.049937578</c:v>
                </c:pt>
                <c:pt idx="45">
                  <c:v>2599.6279357231151</c:v>
                </c:pt>
                <c:pt idx="46">
                  <c:v>2712</c:v>
                </c:pt>
                <c:pt idx="47">
                  <c:v>2486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79-4F3B-B243-A8C95D6F8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766912"/>
        <c:axId val="213768832"/>
      </c:barChart>
      <c:lineChart>
        <c:grouping val="standard"/>
        <c:varyColors val="0"/>
        <c:ser>
          <c:idx val="6"/>
          <c:order val="6"/>
          <c:tx>
            <c:strRef>
              <c:f>データシート!$C$20</c:f>
              <c:strCache>
                <c:ptCount val="1"/>
                <c:pt idx="0">
                  <c:v>対大学総経費比率</c:v>
                </c:pt>
              </c:strCache>
            </c:strRef>
          </c:tx>
          <c:cat>
            <c:strRef>
              <c:f>データシート!$D$12:$AY$12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データシート!$D$20:$AY$20</c:f>
              <c:numCache>
                <c:formatCode>#,##0.00_);[Red]\(#,##0.00\)</c:formatCode>
                <c:ptCount val="48"/>
                <c:pt idx="0">
                  <c:v>1.9414913252122554</c:v>
                </c:pt>
                <c:pt idx="1">
                  <c:v>1.8271016691957509</c:v>
                </c:pt>
                <c:pt idx="2">
                  <c:v>1.8493816750983698</c:v>
                </c:pt>
                <c:pt idx="3">
                  <c:v>1.753171992481203</c:v>
                </c:pt>
                <c:pt idx="4">
                  <c:v>1.7705163293800095</c:v>
                </c:pt>
                <c:pt idx="5">
                  <c:v>1.8682226230406267</c:v>
                </c:pt>
                <c:pt idx="6">
                  <c:v>1.8708466670199864</c:v>
                </c:pt>
                <c:pt idx="7">
                  <c:v>1.8381554099570054</c:v>
                </c:pt>
                <c:pt idx="8">
                  <c:v>1.8731931782594395</c:v>
                </c:pt>
                <c:pt idx="9">
                  <c:v>1.7154725105530362</c:v>
                </c:pt>
                <c:pt idx="10">
                  <c:v>1.7041071964070165</c:v>
                </c:pt>
                <c:pt idx="11">
                  <c:v>1.6561277886352359</c:v>
                </c:pt>
                <c:pt idx="12">
                  <c:v>1.6371584223043607</c:v>
                </c:pt>
                <c:pt idx="13">
                  <c:v>1.6128051614730725</c:v>
                </c:pt>
                <c:pt idx="14">
                  <c:v>1.562078601180666</c:v>
                </c:pt>
                <c:pt idx="15">
                  <c:v>1.6413055167222281</c:v>
                </c:pt>
                <c:pt idx="16">
                  <c:v>1.584253128812843</c:v>
                </c:pt>
                <c:pt idx="17">
                  <c:v>1.5944606563302841</c:v>
                </c:pt>
                <c:pt idx="18">
                  <c:v>1.4948316756569213</c:v>
                </c:pt>
                <c:pt idx="19">
                  <c:v>1.4679329586142877</c:v>
                </c:pt>
                <c:pt idx="20">
                  <c:v>1.4678146969466974</c:v>
                </c:pt>
                <c:pt idx="21">
                  <c:v>1.4788534367032145</c:v>
                </c:pt>
                <c:pt idx="22">
                  <c:v>1.5170390140433125</c:v>
                </c:pt>
                <c:pt idx="23">
                  <c:v>1.4406881985360382</c:v>
                </c:pt>
                <c:pt idx="24">
                  <c:v>1.5920411430839814</c:v>
                </c:pt>
                <c:pt idx="25">
                  <c:v>1.4821291549365465</c:v>
                </c:pt>
                <c:pt idx="26">
                  <c:v>1.3858366289286865</c:v>
                </c:pt>
                <c:pt idx="27">
                  <c:v>1.3893722657463403</c:v>
                </c:pt>
                <c:pt idx="28">
                  <c:v>1.4100391161287249</c:v>
                </c:pt>
                <c:pt idx="29">
                  <c:v>1.4231830700663051</c:v>
                </c:pt>
                <c:pt idx="30">
                  <c:v>1.1807176920684403</c:v>
                </c:pt>
                <c:pt idx="31">
                  <c:v>1.1908139388356607</c:v>
                </c:pt>
                <c:pt idx="32">
                  <c:v>1.1568033221448049</c:v>
                </c:pt>
                <c:pt idx="33">
                  <c:v>1.1427275118282065</c:v>
                </c:pt>
                <c:pt idx="34">
                  <c:v>1.1002034692301206</c:v>
                </c:pt>
                <c:pt idx="35">
                  <c:v>1.0956570910306587</c:v>
                </c:pt>
                <c:pt idx="36">
                  <c:v>1.0482436561373156</c:v>
                </c:pt>
                <c:pt idx="37">
                  <c:v>1.0338637405444413</c:v>
                </c:pt>
                <c:pt idx="38">
                  <c:v>1.0183546707702189</c:v>
                </c:pt>
                <c:pt idx="39">
                  <c:v>1.0276792160115509</c:v>
                </c:pt>
                <c:pt idx="40">
                  <c:v>1.0313337761058783</c:v>
                </c:pt>
                <c:pt idx="41">
                  <c:v>1.0100105927116132</c:v>
                </c:pt>
                <c:pt idx="42" formatCode="#,##0.000;[Red]\-#,##0.000">
                  <c:v>1.0064960129998517</c:v>
                </c:pt>
                <c:pt idx="43" formatCode="#,##0.000;[Red]\-#,##0.000">
                  <c:v>0.9928191372947297</c:v>
                </c:pt>
                <c:pt idx="44" formatCode="#,##0.000;[Red]\-#,##0.000">
                  <c:v>0.97789233560647471</c:v>
                </c:pt>
                <c:pt idx="45" formatCode="#,##0.000;[Red]\-#,##0.000">
                  <c:v>0.96019372816298143</c:v>
                </c:pt>
                <c:pt idx="46" formatCode="#,##0.000;[Red]\-#,##0.000">
                  <c:v>0.95201430133544562</c:v>
                </c:pt>
                <c:pt idx="47" formatCode="#,##0.000;[Red]\-#,##0.000">
                  <c:v>0.68267401292210106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979-4F3B-B243-A8C95D6F8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86848"/>
        <c:axId val="495588488"/>
      </c:lineChart>
      <c:catAx>
        <c:axId val="21376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95331969696969698"/>
              <c:y val="0.9559471365638769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13768832"/>
        <c:crosses val="autoZero"/>
        <c:auto val="1"/>
        <c:lblAlgn val="ctr"/>
        <c:lblOffset val="100"/>
        <c:noMultiLvlLbl val="0"/>
      </c:catAx>
      <c:valAx>
        <c:axId val="2137688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2.94367676767677E-2"/>
              <c:y val="6.3016021675704595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13766912"/>
        <c:crosses val="autoZero"/>
        <c:crossBetween val="between"/>
        <c:dispUnits>
          <c:builtInUnit val="thousands"/>
        </c:dispUnits>
      </c:valAx>
      <c:valAx>
        <c:axId val="495588488"/>
        <c:scaling>
          <c:orientation val="minMax"/>
        </c:scaling>
        <c:delete val="0"/>
        <c:axPos val="r"/>
        <c:numFmt formatCode="#,##0.0;[Red]\-#,##0.0" sourceLinked="0"/>
        <c:majorTickMark val="out"/>
        <c:minorTickMark val="none"/>
        <c:tickLblPos val="nextTo"/>
        <c:crossAx val="495586848"/>
        <c:crosses val="max"/>
        <c:crossBetween val="between"/>
      </c:valAx>
      <c:catAx>
        <c:axId val="495586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5884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629291846235152"/>
          <c:y val="5.5680276578378991E-2"/>
          <c:w val="0.12878404538065827"/>
          <c:h val="0.28611634949024911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4803149606299213" l="0.39370078740157483" r="0.39370078740157483" t="0.74803149606299213" header="0.31496062992125984" footer="0.31496062992125984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図書館資料費の推移</a:t>
            </a:r>
            <a:r>
              <a:rPr lang="ja-JP" altLang="en-US" baseline="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： 公立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</a:t>
            </a:r>
            <a:r>
              <a:rPr lang="en-US" altLang="ja-JP" sz="1800" b="1" i="0" u="none" strike="noStrike" baseline="0">
                <a:effectLst/>
              </a:rPr>
              <a:t>C(2</a:t>
            </a:r>
            <a:r>
              <a:rPr lang="ja-JP" altLang="ja-JP" sz="1800" b="1" i="0" u="none" strike="noStrike" baseline="0">
                <a:effectLst/>
              </a:rPr>
              <a:t>～</a:t>
            </a:r>
            <a:r>
              <a:rPr lang="en-US" altLang="ja-JP" sz="1800" b="1" i="0" u="none" strike="noStrike" baseline="0">
                <a:effectLst/>
              </a:rPr>
              <a:t>4</a:t>
            </a:r>
            <a:r>
              <a:rPr lang="ja-JP" altLang="ja-JP" sz="1800" b="1" i="0" u="none" strike="noStrike" baseline="0">
                <a:effectLst/>
              </a:rPr>
              <a:t>学部</a:t>
            </a:r>
            <a:r>
              <a:rPr lang="en-US" altLang="ja-JP" sz="1800" b="1" i="0" u="none" strike="noStrike" baseline="0">
                <a:effectLst/>
              </a:rPr>
              <a:t>)</a:t>
            </a:r>
            <a:r>
              <a:rPr lang="ja-JP" altLang="ja-JP" sz="1800" b="1" i="0" u="none" strike="noStrike" baseline="0">
                <a:effectLst/>
              </a:rPr>
              <a:t> 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1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大学あたり平均額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4796767676767697E-2"/>
          <c:y val="0.100394278908969"/>
          <c:w val="0.93535606060606102"/>
          <c:h val="0.84462266005295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データシート!$C$184</c:f>
              <c:strCache>
                <c:ptCount val="1"/>
                <c:pt idx="0">
                  <c:v>図書</c:v>
                </c:pt>
              </c:strCache>
            </c:strRef>
          </c:tx>
          <c:invertIfNegative val="0"/>
          <c:cat>
            <c:strRef>
              <c:f>データシート!$D$183:$AY$183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データシート!$D$184:$AY$184</c:f>
              <c:numCache>
                <c:formatCode>#,##0_);[Red]\(#,##0\)</c:formatCode>
                <c:ptCount val="48"/>
                <c:pt idx="0">
                  <c:v>18996.307692307691</c:v>
                </c:pt>
                <c:pt idx="1">
                  <c:v>19005.384615384617</c:v>
                </c:pt>
                <c:pt idx="2">
                  <c:v>21593.076923076922</c:v>
                </c:pt>
                <c:pt idx="3">
                  <c:v>22490.923076923078</c:v>
                </c:pt>
                <c:pt idx="4">
                  <c:v>23073.571428571428</c:v>
                </c:pt>
                <c:pt idx="5">
                  <c:v>27387</c:v>
                </c:pt>
                <c:pt idx="6">
                  <c:v>26578.538461538461</c:v>
                </c:pt>
                <c:pt idx="7">
                  <c:v>26896.846153846152</c:v>
                </c:pt>
                <c:pt idx="8">
                  <c:v>26638.692307692309</c:v>
                </c:pt>
                <c:pt idx="9">
                  <c:v>26535.76923076923</c:v>
                </c:pt>
                <c:pt idx="10">
                  <c:v>26912.538461538461</c:v>
                </c:pt>
                <c:pt idx="11">
                  <c:v>26365.615384615383</c:v>
                </c:pt>
                <c:pt idx="12">
                  <c:v>28678.307692307691</c:v>
                </c:pt>
                <c:pt idx="13">
                  <c:v>27348.285714285714</c:v>
                </c:pt>
                <c:pt idx="14">
                  <c:v>38975.800000000003</c:v>
                </c:pt>
                <c:pt idx="15">
                  <c:v>28895.533333333333</c:v>
                </c:pt>
                <c:pt idx="16">
                  <c:v>31129.3125</c:v>
                </c:pt>
                <c:pt idx="17">
                  <c:v>58748.052631578947</c:v>
                </c:pt>
                <c:pt idx="18">
                  <c:v>47662.45</c:v>
                </c:pt>
                <c:pt idx="19">
                  <c:v>55600.800000000003</c:v>
                </c:pt>
                <c:pt idx="20">
                  <c:v>51458.85</c:v>
                </c:pt>
                <c:pt idx="21">
                  <c:v>44170.95</c:v>
                </c:pt>
                <c:pt idx="22">
                  <c:v>46134.904761904763</c:v>
                </c:pt>
                <c:pt idx="23">
                  <c:v>34272.791666666664</c:v>
                </c:pt>
                <c:pt idx="24">
                  <c:v>47067</c:v>
                </c:pt>
                <c:pt idx="25">
                  <c:v>28080.384615384617</c:v>
                </c:pt>
                <c:pt idx="26">
                  <c:v>25762.807692307691</c:v>
                </c:pt>
                <c:pt idx="27">
                  <c:v>23463.178571428572</c:v>
                </c:pt>
                <c:pt idx="28">
                  <c:v>19464.035714285714</c:v>
                </c:pt>
                <c:pt idx="29">
                  <c:v>18084.931034482757</c:v>
                </c:pt>
                <c:pt idx="30">
                  <c:v>18830.166666666668</c:v>
                </c:pt>
                <c:pt idx="31">
                  <c:v>19638.533333333333</c:v>
                </c:pt>
                <c:pt idx="32">
                  <c:v>18920.2</c:v>
                </c:pt>
                <c:pt idx="33">
                  <c:v>16732.645161290322</c:v>
                </c:pt>
                <c:pt idx="34">
                  <c:v>15329.818181818182</c:v>
                </c:pt>
                <c:pt idx="35">
                  <c:v>18232</c:v>
                </c:pt>
                <c:pt idx="36">
                  <c:v>17939.944444444445</c:v>
                </c:pt>
                <c:pt idx="37">
                  <c:v>14672.972222222223</c:v>
                </c:pt>
                <c:pt idx="38">
                  <c:v>12968.685714285713</c:v>
                </c:pt>
                <c:pt idx="39">
                  <c:v>12491.428571428571</c:v>
                </c:pt>
                <c:pt idx="40">
                  <c:v>11842.705882352941</c:v>
                </c:pt>
                <c:pt idx="41">
                  <c:v>10646</c:v>
                </c:pt>
                <c:pt idx="42">
                  <c:v>11122</c:v>
                </c:pt>
                <c:pt idx="43">
                  <c:v>10013</c:v>
                </c:pt>
                <c:pt idx="44">
                  <c:v>9564</c:v>
                </c:pt>
                <c:pt idx="45">
                  <c:v>8348</c:v>
                </c:pt>
                <c:pt idx="46">
                  <c:v>8891</c:v>
                </c:pt>
                <c:pt idx="47">
                  <c:v>7463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E-408A-B636-AA26261D0124}"/>
            </c:ext>
          </c:extLst>
        </c:ser>
        <c:ser>
          <c:idx val="3"/>
          <c:order val="1"/>
          <c:tx>
            <c:strRef>
              <c:f>データシート!$C$185</c:f>
              <c:strCache>
                <c:ptCount val="1"/>
                <c:pt idx="0">
                  <c:v>雑誌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strRef>
              <c:f>データシート!$D$183:$AY$183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データシート!$D$185:$AY$185</c:f>
              <c:numCache>
                <c:formatCode>#,##0_);[Red]\(#,##0\)</c:formatCode>
                <c:ptCount val="48"/>
                <c:pt idx="0">
                  <c:v>9376.9230769230762</c:v>
                </c:pt>
                <c:pt idx="1">
                  <c:v>11676.461538461539</c:v>
                </c:pt>
                <c:pt idx="2">
                  <c:v>12114.307692307691</c:v>
                </c:pt>
                <c:pt idx="3">
                  <c:v>12125.307692307691</c:v>
                </c:pt>
                <c:pt idx="4">
                  <c:v>11343.571428571429</c:v>
                </c:pt>
                <c:pt idx="5">
                  <c:v>14472.357142857143</c:v>
                </c:pt>
                <c:pt idx="6">
                  <c:v>11284.76923076923</c:v>
                </c:pt>
                <c:pt idx="7">
                  <c:v>12155.307692307691</c:v>
                </c:pt>
                <c:pt idx="8">
                  <c:v>13142.538461538461</c:v>
                </c:pt>
                <c:pt idx="9">
                  <c:v>12678.076923076924</c:v>
                </c:pt>
                <c:pt idx="10">
                  <c:v>12968.923076923076</c:v>
                </c:pt>
                <c:pt idx="11">
                  <c:v>13804.923076923076</c:v>
                </c:pt>
                <c:pt idx="12">
                  <c:v>14926.461538461539</c:v>
                </c:pt>
                <c:pt idx="13">
                  <c:v>14664.071428571429</c:v>
                </c:pt>
                <c:pt idx="14">
                  <c:v>17603</c:v>
                </c:pt>
                <c:pt idx="15">
                  <c:v>20391.933333333334</c:v>
                </c:pt>
                <c:pt idx="16">
                  <c:v>25828.9375</c:v>
                </c:pt>
                <c:pt idx="17">
                  <c:v>25024.842105263157</c:v>
                </c:pt>
                <c:pt idx="18">
                  <c:v>26706.15</c:v>
                </c:pt>
                <c:pt idx="19">
                  <c:v>21420.45</c:v>
                </c:pt>
                <c:pt idx="20">
                  <c:v>26104.25</c:v>
                </c:pt>
                <c:pt idx="21">
                  <c:v>22462.2</c:v>
                </c:pt>
                <c:pt idx="22">
                  <c:v>23184.095238095237</c:v>
                </c:pt>
                <c:pt idx="23">
                  <c:v>23103.666666666668</c:v>
                </c:pt>
                <c:pt idx="24">
                  <c:v>28311.791666666668</c:v>
                </c:pt>
                <c:pt idx="25">
                  <c:v>27292.576923076922</c:v>
                </c:pt>
                <c:pt idx="26">
                  <c:v>25916.038461538461</c:v>
                </c:pt>
                <c:pt idx="27">
                  <c:v>24780.142857142859</c:v>
                </c:pt>
                <c:pt idx="28">
                  <c:v>24285.75</c:v>
                </c:pt>
                <c:pt idx="29">
                  <c:v>21568.448275862069</c:v>
                </c:pt>
                <c:pt idx="30">
                  <c:v>17878.133333333335</c:v>
                </c:pt>
                <c:pt idx="31">
                  <c:v>18330.566666666666</c:v>
                </c:pt>
                <c:pt idx="32">
                  <c:v>18252.433333333334</c:v>
                </c:pt>
                <c:pt idx="33">
                  <c:v>15790.258064516129</c:v>
                </c:pt>
                <c:pt idx="34">
                  <c:v>13742.424242424242</c:v>
                </c:pt>
                <c:pt idx="35">
                  <c:v>11637.705882352941</c:v>
                </c:pt>
                <c:pt idx="36">
                  <c:v>10802</c:v>
                </c:pt>
                <c:pt idx="37">
                  <c:v>10372.805555555555</c:v>
                </c:pt>
                <c:pt idx="38">
                  <c:v>10160.200000000001</c:v>
                </c:pt>
                <c:pt idx="39">
                  <c:v>11056.057142857142</c:v>
                </c:pt>
                <c:pt idx="40">
                  <c:v>9925.5</c:v>
                </c:pt>
                <c:pt idx="41">
                  <c:v>9541</c:v>
                </c:pt>
                <c:pt idx="42">
                  <c:v>7825</c:v>
                </c:pt>
                <c:pt idx="43">
                  <c:v>8294</c:v>
                </c:pt>
                <c:pt idx="44">
                  <c:v>8013</c:v>
                </c:pt>
                <c:pt idx="45">
                  <c:v>7938</c:v>
                </c:pt>
                <c:pt idx="46">
                  <c:v>7701</c:v>
                </c:pt>
                <c:pt idx="47">
                  <c:v>7742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1E-408A-B636-AA26261D0124}"/>
            </c:ext>
          </c:extLst>
        </c:ser>
        <c:ser>
          <c:idx val="1"/>
          <c:order val="2"/>
          <c:tx>
            <c:strRef>
              <c:f>データシート!$C$186</c:f>
              <c:strCache>
                <c:ptCount val="1"/>
                <c:pt idx="0">
                  <c:v>電子ジャーナル</c:v>
                </c:pt>
              </c:strCache>
            </c:strRef>
          </c:tx>
          <c:invertIfNegative val="0"/>
          <c:cat>
            <c:strRef>
              <c:f>データシート!$D$183:$AY$183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データシート!$D$186:$AY$186</c:f>
              <c:numCache>
                <c:formatCode>#,##0_);[Red]\(#,##0\)</c:formatCode>
                <c:ptCount val="48"/>
                <c:pt idx="29">
                  <c:v>1414.8965517241379</c:v>
                </c:pt>
                <c:pt idx="30">
                  <c:v>2324.7666666666669</c:v>
                </c:pt>
                <c:pt idx="31">
                  <c:v>6453.666666666667</c:v>
                </c:pt>
                <c:pt idx="32">
                  <c:v>7892.2666666666664</c:v>
                </c:pt>
                <c:pt idx="33">
                  <c:v>11664.354838709678</c:v>
                </c:pt>
                <c:pt idx="34">
                  <c:v>12838.939393939394</c:v>
                </c:pt>
                <c:pt idx="35">
                  <c:v>13115.911764705883</c:v>
                </c:pt>
                <c:pt idx="36">
                  <c:v>13026.527777777777</c:v>
                </c:pt>
                <c:pt idx="37">
                  <c:v>13906.083333333334</c:v>
                </c:pt>
                <c:pt idx="38">
                  <c:v>16605.657142857144</c:v>
                </c:pt>
                <c:pt idx="39">
                  <c:v>18797.085714285713</c:v>
                </c:pt>
                <c:pt idx="40">
                  <c:v>21736.441176470587</c:v>
                </c:pt>
                <c:pt idx="41">
                  <c:v>22243</c:v>
                </c:pt>
                <c:pt idx="42">
                  <c:v>18753</c:v>
                </c:pt>
                <c:pt idx="43">
                  <c:v>16510</c:v>
                </c:pt>
                <c:pt idx="44">
                  <c:v>17068</c:v>
                </c:pt>
                <c:pt idx="45">
                  <c:v>17487</c:v>
                </c:pt>
                <c:pt idx="46">
                  <c:v>18508</c:v>
                </c:pt>
                <c:pt idx="47">
                  <c:v>19907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71E-408A-B636-AA26261D0124}"/>
            </c:ext>
          </c:extLst>
        </c:ser>
        <c:ser>
          <c:idx val="2"/>
          <c:order val="3"/>
          <c:tx>
            <c:strRef>
              <c:f>データシート!$C$187</c:f>
              <c:strCache>
                <c:ptCount val="1"/>
                <c:pt idx="0">
                  <c:v>電子書籍</c:v>
                </c:pt>
              </c:strCache>
            </c:strRef>
          </c:tx>
          <c:invertIfNegative val="0"/>
          <c:cat>
            <c:strRef>
              <c:f>データシート!$D$183:$AY$183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データシート!$D$187:$AY$187</c:f>
              <c:numCache>
                <c:formatCode>#,##0_);[Red]\(#,##0\)</c:formatCode>
                <c:ptCount val="48"/>
                <c:pt idx="35">
                  <c:v>391.3235294117647</c:v>
                </c:pt>
                <c:pt idx="36">
                  <c:v>219.44444444444446</c:v>
                </c:pt>
                <c:pt idx="37">
                  <c:v>200.88888888888889</c:v>
                </c:pt>
                <c:pt idx="38">
                  <c:v>580.4</c:v>
                </c:pt>
                <c:pt idx="39">
                  <c:v>390.22857142857146</c:v>
                </c:pt>
                <c:pt idx="40">
                  <c:v>569.64705882352939</c:v>
                </c:pt>
                <c:pt idx="41">
                  <c:v>614</c:v>
                </c:pt>
                <c:pt idx="42">
                  <c:v>1006</c:v>
                </c:pt>
                <c:pt idx="43">
                  <c:v>757</c:v>
                </c:pt>
                <c:pt idx="44">
                  <c:v>755</c:v>
                </c:pt>
                <c:pt idx="45">
                  <c:v>1430</c:v>
                </c:pt>
                <c:pt idx="46">
                  <c:v>1271</c:v>
                </c:pt>
                <c:pt idx="47">
                  <c:v>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1E-408A-B636-AA26261D0124}"/>
            </c:ext>
          </c:extLst>
        </c:ser>
        <c:ser>
          <c:idx val="4"/>
          <c:order val="4"/>
          <c:tx>
            <c:strRef>
              <c:f>データシート!$C$188</c:f>
              <c:strCache>
                <c:ptCount val="1"/>
                <c:pt idx="0">
                  <c:v>データベース</c:v>
                </c:pt>
              </c:strCache>
            </c:strRef>
          </c:tx>
          <c:invertIfNegative val="0"/>
          <c:cat>
            <c:strRef>
              <c:f>データシート!$D$183:$AY$183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データシート!$D$188:$AY$188</c:f>
              <c:numCache>
                <c:formatCode>#,##0_);[Red]\(#,##0\)</c:formatCode>
                <c:ptCount val="48"/>
                <c:pt idx="35">
                  <c:v>2957.1470588235293</c:v>
                </c:pt>
                <c:pt idx="36">
                  <c:v>3418.75</c:v>
                </c:pt>
                <c:pt idx="37">
                  <c:v>3479.8055555555557</c:v>
                </c:pt>
                <c:pt idx="38">
                  <c:v>3895.1142857142859</c:v>
                </c:pt>
                <c:pt idx="39">
                  <c:v>4335.8</c:v>
                </c:pt>
                <c:pt idx="40">
                  <c:v>4168.9705882352937</c:v>
                </c:pt>
                <c:pt idx="41">
                  <c:v>3403</c:v>
                </c:pt>
                <c:pt idx="42">
                  <c:v>2935</c:v>
                </c:pt>
                <c:pt idx="43">
                  <c:v>3240</c:v>
                </c:pt>
                <c:pt idx="44">
                  <c:v>3543</c:v>
                </c:pt>
                <c:pt idx="45">
                  <c:v>4188</c:v>
                </c:pt>
                <c:pt idx="46">
                  <c:v>4921</c:v>
                </c:pt>
                <c:pt idx="47">
                  <c:v>4835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71E-408A-B636-AA26261D0124}"/>
            </c:ext>
          </c:extLst>
        </c:ser>
        <c:ser>
          <c:idx val="5"/>
          <c:order val="5"/>
          <c:tx>
            <c:strRef>
              <c:f>データシート!$C$189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データシート!$D$183:$AY$183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データシート!$D$189:$AY$189</c:f>
              <c:numCache>
                <c:formatCode>#,##0_);[Red]\(#,##0\)</c:formatCode>
                <c:ptCount val="48"/>
                <c:pt idx="0">
                  <c:v>514.38461538461536</c:v>
                </c:pt>
                <c:pt idx="1">
                  <c:v>356.38461538461536</c:v>
                </c:pt>
                <c:pt idx="2">
                  <c:v>526.84615384615381</c:v>
                </c:pt>
                <c:pt idx="3">
                  <c:v>530.69230769230774</c:v>
                </c:pt>
                <c:pt idx="4">
                  <c:v>554.78571428571433</c:v>
                </c:pt>
                <c:pt idx="5">
                  <c:v>514.14285714285711</c:v>
                </c:pt>
                <c:pt idx="6">
                  <c:v>3588.3076923076924</c:v>
                </c:pt>
                <c:pt idx="7">
                  <c:v>764.69230769230774</c:v>
                </c:pt>
                <c:pt idx="8">
                  <c:v>823.23076923076928</c:v>
                </c:pt>
                <c:pt idx="9">
                  <c:v>1145.7692307692307</c:v>
                </c:pt>
                <c:pt idx="10">
                  <c:v>1031.3076923076924</c:v>
                </c:pt>
                <c:pt idx="11">
                  <c:v>1247.3076923076924</c:v>
                </c:pt>
                <c:pt idx="12">
                  <c:v>1181.6923076923076</c:v>
                </c:pt>
                <c:pt idx="13">
                  <c:v>1550.2142857142858</c:v>
                </c:pt>
                <c:pt idx="14">
                  <c:v>1498.9333333333334</c:v>
                </c:pt>
                <c:pt idx="15">
                  <c:v>1514</c:v>
                </c:pt>
                <c:pt idx="16">
                  <c:v>1347.5625</c:v>
                </c:pt>
                <c:pt idx="17">
                  <c:v>1430</c:v>
                </c:pt>
                <c:pt idx="18">
                  <c:v>3911.05</c:v>
                </c:pt>
                <c:pt idx="19">
                  <c:v>3085.1</c:v>
                </c:pt>
                <c:pt idx="20">
                  <c:v>4009.65</c:v>
                </c:pt>
                <c:pt idx="21">
                  <c:v>8964.85</c:v>
                </c:pt>
                <c:pt idx="22">
                  <c:v>3665.8571428571427</c:v>
                </c:pt>
                <c:pt idx="23">
                  <c:v>3379.2083333333335</c:v>
                </c:pt>
                <c:pt idx="24">
                  <c:v>4494.916666666667</c:v>
                </c:pt>
                <c:pt idx="25">
                  <c:v>4449.3076923076924</c:v>
                </c:pt>
                <c:pt idx="26">
                  <c:v>3660.8846153846152</c:v>
                </c:pt>
                <c:pt idx="27">
                  <c:v>3835.0357142857142</c:v>
                </c:pt>
                <c:pt idx="28">
                  <c:v>2843.5</c:v>
                </c:pt>
                <c:pt idx="29">
                  <c:v>2589.7241379310344</c:v>
                </c:pt>
                <c:pt idx="30">
                  <c:v>2714.1</c:v>
                </c:pt>
                <c:pt idx="31">
                  <c:v>4024.3</c:v>
                </c:pt>
                <c:pt idx="32">
                  <c:v>3017.8333333333335</c:v>
                </c:pt>
                <c:pt idx="33">
                  <c:v>3320.516129032258</c:v>
                </c:pt>
                <c:pt idx="34">
                  <c:v>3901.848484848485</c:v>
                </c:pt>
                <c:pt idx="35">
                  <c:v>2079</c:v>
                </c:pt>
                <c:pt idx="36">
                  <c:v>2409.5277777777778</c:v>
                </c:pt>
                <c:pt idx="37">
                  <c:v>1790.9444444444443</c:v>
                </c:pt>
                <c:pt idx="38">
                  <c:v>1775.9142857142858</c:v>
                </c:pt>
                <c:pt idx="39">
                  <c:v>2072.5714285714284</c:v>
                </c:pt>
                <c:pt idx="40">
                  <c:v>1620.0882352941176</c:v>
                </c:pt>
                <c:pt idx="41">
                  <c:v>2247</c:v>
                </c:pt>
                <c:pt idx="42">
                  <c:v>1936</c:v>
                </c:pt>
                <c:pt idx="43">
                  <c:v>1349</c:v>
                </c:pt>
                <c:pt idx="44">
                  <c:v>1457</c:v>
                </c:pt>
                <c:pt idx="45">
                  <c:v>1504</c:v>
                </c:pt>
                <c:pt idx="46">
                  <c:v>1375</c:v>
                </c:pt>
                <c:pt idx="47">
                  <c:v>1268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71E-408A-B636-AA26261D0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5883776"/>
        <c:axId val="215885696"/>
      </c:barChart>
      <c:lineChart>
        <c:grouping val="standard"/>
        <c:varyColors val="0"/>
        <c:ser>
          <c:idx val="6"/>
          <c:order val="6"/>
          <c:tx>
            <c:strRef>
              <c:f>データシート!$C$191</c:f>
              <c:strCache>
                <c:ptCount val="1"/>
                <c:pt idx="0">
                  <c:v>対大学総経費比率</c:v>
                </c:pt>
              </c:strCache>
            </c:strRef>
          </c:tx>
          <c:cat>
            <c:strRef>
              <c:f>データシート!$D$183:$AY$183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データシート!$D$191:$AY$191</c:f>
              <c:numCache>
                <c:formatCode>#,##0.00_);[Red]\(#,##0.00\)</c:formatCode>
                <c:ptCount val="48"/>
                <c:pt idx="0">
                  <c:v>1.9385659715052652</c:v>
                </c:pt>
                <c:pt idx="1">
                  <c:v>1.9786054038150345</c:v>
                </c:pt>
                <c:pt idx="2">
                  <c:v>2.0056106354213608</c:v>
                </c:pt>
                <c:pt idx="3">
                  <c:v>2.0064552959775162</c:v>
                </c:pt>
                <c:pt idx="4">
                  <c:v>1.8850365886684892</c:v>
                </c:pt>
                <c:pt idx="5">
                  <c:v>1.5769990775857046</c:v>
                </c:pt>
                <c:pt idx="6">
                  <c:v>2.560204386475692</c:v>
                </c:pt>
                <c:pt idx="7">
                  <c:v>2.3021070088224036</c:v>
                </c:pt>
                <c:pt idx="8">
                  <c:v>2.2390766550071861</c:v>
                </c:pt>
                <c:pt idx="9">
                  <c:v>1.6923078957585425</c:v>
                </c:pt>
                <c:pt idx="10">
                  <c:v>1.6891489111549962</c:v>
                </c:pt>
                <c:pt idx="11">
                  <c:v>1.3581459725419587</c:v>
                </c:pt>
                <c:pt idx="12">
                  <c:v>1.8127199373476086</c:v>
                </c:pt>
                <c:pt idx="13">
                  <c:v>1.8148643507364119</c:v>
                </c:pt>
                <c:pt idx="14">
                  <c:v>1.6157368225510467</c:v>
                </c:pt>
                <c:pt idx="15">
                  <c:v>1.7404377412575049</c:v>
                </c:pt>
                <c:pt idx="16">
                  <c:v>2.0623173808014608</c:v>
                </c:pt>
                <c:pt idx="17">
                  <c:v>2.6390906603785367</c:v>
                </c:pt>
                <c:pt idx="18">
                  <c:v>2.3793907847831566</c:v>
                </c:pt>
                <c:pt idx="19">
                  <c:v>2.5843673814489234</c:v>
                </c:pt>
                <c:pt idx="20">
                  <c:v>2.3199778368103483</c:v>
                </c:pt>
                <c:pt idx="21">
                  <c:v>2.7878815034196243</c:v>
                </c:pt>
                <c:pt idx="22">
                  <c:v>2.1572639542041561</c:v>
                </c:pt>
                <c:pt idx="23">
                  <c:v>1.2392959843908824</c:v>
                </c:pt>
                <c:pt idx="24">
                  <c:v>2.1014714473543674</c:v>
                </c:pt>
                <c:pt idx="25">
                  <c:v>1.6018264899623114</c:v>
                </c:pt>
                <c:pt idx="26">
                  <c:v>1.3307528960460731</c:v>
                </c:pt>
                <c:pt idx="27">
                  <c:v>1.2930047551948511</c:v>
                </c:pt>
                <c:pt idx="28">
                  <c:v>1.1830036063777147</c:v>
                </c:pt>
                <c:pt idx="29">
                  <c:v>1.0209159057814674</c:v>
                </c:pt>
                <c:pt idx="30">
                  <c:v>0.99213986526610465</c:v>
                </c:pt>
                <c:pt idx="31">
                  <c:v>1.0826641440566982</c:v>
                </c:pt>
                <c:pt idx="32">
                  <c:v>1.0247701655155541</c:v>
                </c:pt>
                <c:pt idx="33">
                  <c:v>0.86658414408995488</c:v>
                </c:pt>
                <c:pt idx="34">
                  <c:v>0.88135151704560233</c:v>
                </c:pt>
                <c:pt idx="35">
                  <c:v>0.93067541435423107</c:v>
                </c:pt>
                <c:pt idx="36">
                  <c:v>0.91219734087344773</c:v>
                </c:pt>
                <c:pt idx="37">
                  <c:v>0.84644165596846599</c:v>
                </c:pt>
                <c:pt idx="38">
                  <c:v>1.0291403208963705</c:v>
                </c:pt>
                <c:pt idx="39">
                  <c:v>1.0659194585996681</c:v>
                </c:pt>
                <c:pt idx="40">
                  <c:v>0.97242117163675279</c:v>
                </c:pt>
                <c:pt idx="41">
                  <c:v>0.95608698626144362</c:v>
                </c:pt>
                <c:pt idx="42" formatCode="#,##0.000;[Red]\-#,##0.000">
                  <c:v>1.0775742459867437</c:v>
                </c:pt>
                <c:pt idx="43" formatCode="#,##0.000;[Red]\-#,##0.000">
                  <c:v>1.0125347080136327</c:v>
                </c:pt>
                <c:pt idx="44" formatCode="#,##0.000;[Red]\-#,##0.000">
                  <c:v>1.0170028140886129</c:v>
                </c:pt>
                <c:pt idx="45" formatCode="#,##0.000;[Red]\-#,##0.000">
                  <c:v>1.3447985120566555</c:v>
                </c:pt>
                <c:pt idx="46" formatCode="#,##0.000;[Red]\-#,##0.000">
                  <c:v>1.3815646286483751</c:v>
                </c:pt>
                <c:pt idx="47" formatCode="#,##0.000;[Red]\-#,##0.000">
                  <c:v>0.99198627649578897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71E-408A-B636-AA26261D0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281240"/>
        <c:axId val="643280584"/>
      </c:lineChart>
      <c:catAx>
        <c:axId val="21588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96614797979797995"/>
              <c:y val="0.9559471365638769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15885696"/>
        <c:crosses val="autoZero"/>
        <c:auto val="1"/>
        <c:lblAlgn val="ctr"/>
        <c:lblOffset val="100"/>
        <c:noMultiLvlLbl val="0"/>
      </c:catAx>
      <c:valAx>
        <c:axId val="2158856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2.55882828282828E-2"/>
              <c:y val="6.3016021675704595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15883776"/>
        <c:crosses val="autoZero"/>
        <c:crossBetween val="between"/>
        <c:dispUnits>
          <c:builtInUnit val="thousands"/>
        </c:dispUnits>
      </c:valAx>
      <c:valAx>
        <c:axId val="643280584"/>
        <c:scaling>
          <c:orientation val="minMax"/>
        </c:scaling>
        <c:delete val="0"/>
        <c:axPos val="r"/>
        <c:numFmt formatCode="#,##0.0;[Red]\-#,##0.0" sourceLinked="0"/>
        <c:majorTickMark val="out"/>
        <c:minorTickMark val="none"/>
        <c:tickLblPos val="nextTo"/>
        <c:crossAx val="643281240"/>
        <c:crosses val="max"/>
        <c:crossBetween val="between"/>
      </c:valAx>
      <c:catAx>
        <c:axId val="643281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32805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1533600359965719"/>
          <c:y val="0.10939786711683067"/>
          <c:w val="0.13142173196156764"/>
          <c:h val="0.28611634949024911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図書館資料費の推移</a:t>
            </a:r>
            <a:r>
              <a:rPr lang="ja-JP" altLang="en-US" baseline="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： 公立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</a:t>
            </a:r>
            <a:r>
              <a:rPr lang="en-US" altLang="ja-JP" sz="1800" b="1" i="0" u="none" strike="noStrike" baseline="0">
                <a:effectLst/>
              </a:rPr>
              <a:t>D(</a:t>
            </a:r>
            <a:r>
              <a:rPr lang="ja-JP" altLang="ja-JP" sz="1800" b="1" i="0" u="none" strike="noStrike" baseline="0">
                <a:effectLst/>
              </a:rPr>
              <a:t>単科大学</a:t>
            </a:r>
            <a:r>
              <a:rPr lang="en-US" altLang="ja-JP" sz="1800" b="1" i="0" u="none" strike="noStrike" baseline="0">
                <a:effectLst/>
              </a:rPr>
              <a:t>)</a:t>
            </a:r>
            <a:r>
              <a:rPr lang="ja-JP" altLang="ja-JP" sz="1800" b="1" i="0" u="none" strike="noStrike" baseline="0">
                <a:effectLst/>
              </a:rPr>
              <a:t> 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1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大学あたり平均額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079595959595999E-2"/>
          <c:y val="0.100394278908969"/>
          <c:w val="0.93407323232323303"/>
          <c:h val="0.84462266005295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データシート!$C$203</c:f>
              <c:strCache>
                <c:ptCount val="1"/>
                <c:pt idx="0">
                  <c:v>図書</c:v>
                </c:pt>
              </c:strCache>
            </c:strRef>
          </c:tx>
          <c:invertIfNegative val="0"/>
          <c:cat>
            <c:strRef>
              <c:f>データシート!$D$202:$AY$202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データシート!$D$203:$AY$203</c:f>
              <c:numCache>
                <c:formatCode>#,##0_);[Red]\(#,##0\)</c:formatCode>
                <c:ptCount val="48"/>
                <c:pt idx="0">
                  <c:v>8254</c:v>
                </c:pt>
                <c:pt idx="1">
                  <c:v>8702.7777777777774</c:v>
                </c:pt>
                <c:pt idx="2">
                  <c:v>10994.388888888889</c:v>
                </c:pt>
                <c:pt idx="3">
                  <c:v>11401.055555555555</c:v>
                </c:pt>
                <c:pt idx="4">
                  <c:v>13355.117647058823</c:v>
                </c:pt>
                <c:pt idx="5">
                  <c:v>16918.055555555555</c:v>
                </c:pt>
                <c:pt idx="6">
                  <c:v>17576.555555555555</c:v>
                </c:pt>
                <c:pt idx="7">
                  <c:v>19010.833333333332</c:v>
                </c:pt>
                <c:pt idx="8">
                  <c:v>16768.666666666668</c:v>
                </c:pt>
                <c:pt idx="9">
                  <c:v>17211.166666666668</c:v>
                </c:pt>
                <c:pt idx="10">
                  <c:v>18968.55</c:v>
                </c:pt>
                <c:pt idx="11">
                  <c:v>16150.35</c:v>
                </c:pt>
                <c:pt idx="12">
                  <c:v>15165.571428571429</c:v>
                </c:pt>
                <c:pt idx="13">
                  <c:v>19073.55</c:v>
                </c:pt>
                <c:pt idx="14">
                  <c:v>19207.761904761905</c:v>
                </c:pt>
                <c:pt idx="15">
                  <c:v>22392.190476190477</c:v>
                </c:pt>
                <c:pt idx="16">
                  <c:v>19440.136363636364</c:v>
                </c:pt>
                <c:pt idx="17">
                  <c:v>35529.25</c:v>
                </c:pt>
                <c:pt idx="18">
                  <c:v>24511.96</c:v>
                </c:pt>
                <c:pt idx="19">
                  <c:v>32994.071428571428</c:v>
                </c:pt>
                <c:pt idx="20">
                  <c:v>28370.03448275862</c:v>
                </c:pt>
                <c:pt idx="21">
                  <c:v>28959.454545454544</c:v>
                </c:pt>
                <c:pt idx="22">
                  <c:v>28582.454545454544</c:v>
                </c:pt>
                <c:pt idx="23">
                  <c:v>19847.2</c:v>
                </c:pt>
                <c:pt idx="24">
                  <c:v>33013.414634146342</c:v>
                </c:pt>
                <c:pt idx="25">
                  <c:v>20424.428571428572</c:v>
                </c:pt>
                <c:pt idx="26">
                  <c:v>18404.069767441859</c:v>
                </c:pt>
                <c:pt idx="27">
                  <c:v>16721.738095238095</c:v>
                </c:pt>
                <c:pt idx="28">
                  <c:v>14723.357142857143</c:v>
                </c:pt>
                <c:pt idx="29">
                  <c:v>14506.421052631578</c:v>
                </c:pt>
                <c:pt idx="30">
                  <c:v>11030</c:v>
                </c:pt>
                <c:pt idx="31">
                  <c:v>10755.674999999999</c:v>
                </c:pt>
                <c:pt idx="32">
                  <c:v>9660.4358974358965</c:v>
                </c:pt>
                <c:pt idx="33">
                  <c:v>8664.6923076923085</c:v>
                </c:pt>
                <c:pt idx="34">
                  <c:v>9139.7000000000007</c:v>
                </c:pt>
                <c:pt idx="35">
                  <c:v>7728.1</c:v>
                </c:pt>
                <c:pt idx="36">
                  <c:v>8235.4871794871797</c:v>
                </c:pt>
                <c:pt idx="37">
                  <c:v>7160.1</c:v>
                </c:pt>
                <c:pt idx="38">
                  <c:v>6492</c:v>
                </c:pt>
                <c:pt idx="39">
                  <c:v>6573.340909090909</c:v>
                </c:pt>
                <c:pt idx="40">
                  <c:v>5800.217391304348</c:v>
                </c:pt>
                <c:pt idx="41">
                  <c:v>5961</c:v>
                </c:pt>
                <c:pt idx="42">
                  <c:v>5559</c:v>
                </c:pt>
                <c:pt idx="43">
                  <c:v>5264</c:v>
                </c:pt>
                <c:pt idx="44">
                  <c:v>5473</c:v>
                </c:pt>
                <c:pt idx="45">
                  <c:v>6610</c:v>
                </c:pt>
                <c:pt idx="46">
                  <c:v>4845</c:v>
                </c:pt>
                <c:pt idx="47">
                  <c:v>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B-408F-80E8-C3F92B3CB0D4}"/>
            </c:ext>
          </c:extLst>
        </c:ser>
        <c:ser>
          <c:idx val="3"/>
          <c:order val="1"/>
          <c:tx>
            <c:strRef>
              <c:f>データシート!$C$204</c:f>
              <c:strCache>
                <c:ptCount val="1"/>
                <c:pt idx="0">
                  <c:v>雑誌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strRef>
              <c:f>データシート!$D$202:$AY$202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データシート!$D$204:$AY$204</c:f>
              <c:numCache>
                <c:formatCode>#,##0_);[Red]\(#,##0\)</c:formatCode>
                <c:ptCount val="48"/>
                <c:pt idx="0">
                  <c:v>7280.333333333333</c:v>
                </c:pt>
                <c:pt idx="1">
                  <c:v>8805.7777777777774</c:v>
                </c:pt>
                <c:pt idx="2">
                  <c:v>10628.833333333334</c:v>
                </c:pt>
                <c:pt idx="3">
                  <c:v>10738.444444444445</c:v>
                </c:pt>
                <c:pt idx="4">
                  <c:v>12308.705882352941</c:v>
                </c:pt>
                <c:pt idx="5">
                  <c:v>13455.111111111111</c:v>
                </c:pt>
                <c:pt idx="6">
                  <c:v>15481.833333333334</c:v>
                </c:pt>
                <c:pt idx="7">
                  <c:v>16307.111111111111</c:v>
                </c:pt>
                <c:pt idx="8">
                  <c:v>18189.166666666668</c:v>
                </c:pt>
                <c:pt idx="9">
                  <c:v>17673.833333333332</c:v>
                </c:pt>
                <c:pt idx="10">
                  <c:v>17132.3</c:v>
                </c:pt>
                <c:pt idx="11">
                  <c:v>17574</c:v>
                </c:pt>
                <c:pt idx="12">
                  <c:v>15843.333333333334</c:v>
                </c:pt>
                <c:pt idx="13">
                  <c:v>16875.650000000001</c:v>
                </c:pt>
                <c:pt idx="14">
                  <c:v>15258.523809523809</c:v>
                </c:pt>
                <c:pt idx="15">
                  <c:v>17213.523809523809</c:v>
                </c:pt>
                <c:pt idx="16">
                  <c:v>17975.727272727272</c:v>
                </c:pt>
                <c:pt idx="17">
                  <c:v>18625.75</c:v>
                </c:pt>
                <c:pt idx="18">
                  <c:v>22051.360000000001</c:v>
                </c:pt>
                <c:pt idx="19">
                  <c:v>18100.392857142859</c:v>
                </c:pt>
                <c:pt idx="20">
                  <c:v>17868.206896551725</c:v>
                </c:pt>
                <c:pt idx="21">
                  <c:v>16584.484848484848</c:v>
                </c:pt>
                <c:pt idx="22">
                  <c:v>17309.454545454544</c:v>
                </c:pt>
                <c:pt idx="23">
                  <c:v>15285.428571428571</c:v>
                </c:pt>
                <c:pt idx="24">
                  <c:v>14963.634146341463</c:v>
                </c:pt>
                <c:pt idx="25">
                  <c:v>14462.714285714286</c:v>
                </c:pt>
                <c:pt idx="26">
                  <c:v>14400.627906976744</c:v>
                </c:pt>
                <c:pt idx="27">
                  <c:v>15781.547619047618</c:v>
                </c:pt>
                <c:pt idx="28">
                  <c:v>13960.404761904761</c:v>
                </c:pt>
                <c:pt idx="29">
                  <c:v>12240.5</c:v>
                </c:pt>
                <c:pt idx="30">
                  <c:v>11653.4</c:v>
                </c:pt>
                <c:pt idx="31">
                  <c:v>11187</c:v>
                </c:pt>
                <c:pt idx="32">
                  <c:v>10242.717948717949</c:v>
                </c:pt>
                <c:pt idx="33">
                  <c:v>9579</c:v>
                </c:pt>
                <c:pt idx="34">
                  <c:v>8988.375</c:v>
                </c:pt>
                <c:pt idx="35">
                  <c:v>8581.1</c:v>
                </c:pt>
                <c:pt idx="36">
                  <c:v>8040.0769230769229</c:v>
                </c:pt>
                <c:pt idx="37">
                  <c:v>7074.45</c:v>
                </c:pt>
                <c:pt idx="38">
                  <c:v>6645.681818181818</c:v>
                </c:pt>
                <c:pt idx="39">
                  <c:v>6642.863636363636</c:v>
                </c:pt>
                <c:pt idx="40">
                  <c:v>5981.565217391304</c:v>
                </c:pt>
                <c:pt idx="41">
                  <c:v>6037</c:v>
                </c:pt>
                <c:pt idx="42">
                  <c:v>5303</c:v>
                </c:pt>
                <c:pt idx="43">
                  <c:v>4673</c:v>
                </c:pt>
                <c:pt idx="44">
                  <c:v>4357</c:v>
                </c:pt>
                <c:pt idx="45">
                  <c:v>3887</c:v>
                </c:pt>
                <c:pt idx="46">
                  <c:v>3489</c:v>
                </c:pt>
                <c:pt idx="47">
                  <c:v>3471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B-408F-80E8-C3F92B3CB0D4}"/>
            </c:ext>
          </c:extLst>
        </c:ser>
        <c:ser>
          <c:idx val="1"/>
          <c:order val="2"/>
          <c:tx>
            <c:strRef>
              <c:f>データシート!$C$205</c:f>
              <c:strCache>
                <c:ptCount val="1"/>
                <c:pt idx="0">
                  <c:v>電子ジャーナル</c:v>
                </c:pt>
              </c:strCache>
            </c:strRef>
          </c:tx>
          <c:invertIfNegative val="0"/>
          <c:cat>
            <c:strRef>
              <c:f>データシート!$D$202:$AY$202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データシート!$D$205:$AY$205</c:f>
              <c:numCache>
                <c:formatCode>#,##0_);[Red]\(#,##0\)</c:formatCode>
                <c:ptCount val="48"/>
                <c:pt idx="29">
                  <c:v>2103.0526315789475</c:v>
                </c:pt>
                <c:pt idx="30">
                  <c:v>2005.95</c:v>
                </c:pt>
                <c:pt idx="31">
                  <c:v>3265.65</c:v>
                </c:pt>
                <c:pt idx="32">
                  <c:v>4273.7435897435898</c:v>
                </c:pt>
                <c:pt idx="33">
                  <c:v>5518.8974358974356</c:v>
                </c:pt>
                <c:pt idx="34">
                  <c:v>5299.0749999999998</c:v>
                </c:pt>
                <c:pt idx="35">
                  <c:v>5779.5</c:v>
                </c:pt>
                <c:pt idx="36">
                  <c:v>6213.2564102564102</c:v>
                </c:pt>
                <c:pt idx="37">
                  <c:v>6662.9250000000002</c:v>
                </c:pt>
                <c:pt idx="38">
                  <c:v>6985.409090909091</c:v>
                </c:pt>
                <c:pt idx="39">
                  <c:v>7330.454545454545</c:v>
                </c:pt>
                <c:pt idx="40">
                  <c:v>8419.95652173913</c:v>
                </c:pt>
                <c:pt idx="41">
                  <c:v>8937</c:v>
                </c:pt>
                <c:pt idx="42">
                  <c:v>9303</c:v>
                </c:pt>
                <c:pt idx="43">
                  <c:v>9585</c:v>
                </c:pt>
                <c:pt idx="44">
                  <c:v>10000</c:v>
                </c:pt>
                <c:pt idx="45">
                  <c:v>9919</c:v>
                </c:pt>
                <c:pt idx="46">
                  <c:v>10211</c:v>
                </c:pt>
                <c:pt idx="47">
                  <c:v>10871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B-408F-80E8-C3F92B3CB0D4}"/>
            </c:ext>
          </c:extLst>
        </c:ser>
        <c:ser>
          <c:idx val="2"/>
          <c:order val="3"/>
          <c:tx>
            <c:strRef>
              <c:f>データシート!$C$206</c:f>
              <c:strCache>
                <c:ptCount val="1"/>
                <c:pt idx="0">
                  <c:v>電子書籍</c:v>
                </c:pt>
              </c:strCache>
            </c:strRef>
          </c:tx>
          <c:invertIfNegative val="0"/>
          <c:cat>
            <c:strRef>
              <c:f>データシート!$D$202:$AY$202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データシート!$D$206:$AY$206</c:f>
              <c:numCache>
                <c:formatCode>#,##0_);[Red]\(#,##0\)</c:formatCode>
                <c:ptCount val="48"/>
                <c:pt idx="35">
                  <c:v>242.95</c:v>
                </c:pt>
                <c:pt idx="36">
                  <c:v>249.38461538461539</c:v>
                </c:pt>
                <c:pt idx="37">
                  <c:v>187.07499999999999</c:v>
                </c:pt>
                <c:pt idx="38">
                  <c:v>206.97727272727272</c:v>
                </c:pt>
                <c:pt idx="39">
                  <c:v>220.88636363636363</c:v>
                </c:pt>
                <c:pt idx="40">
                  <c:v>240.36956521739131</c:v>
                </c:pt>
                <c:pt idx="41">
                  <c:v>322</c:v>
                </c:pt>
                <c:pt idx="42">
                  <c:v>355</c:v>
                </c:pt>
                <c:pt idx="43">
                  <c:v>348</c:v>
                </c:pt>
                <c:pt idx="44">
                  <c:v>511</c:v>
                </c:pt>
                <c:pt idx="45">
                  <c:v>1706</c:v>
                </c:pt>
                <c:pt idx="46">
                  <c:v>2639</c:v>
                </c:pt>
                <c:pt idx="47">
                  <c:v>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B-408F-80E8-C3F92B3CB0D4}"/>
            </c:ext>
          </c:extLst>
        </c:ser>
        <c:ser>
          <c:idx val="4"/>
          <c:order val="4"/>
          <c:tx>
            <c:strRef>
              <c:f>データシート!$C$207</c:f>
              <c:strCache>
                <c:ptCount val="1"/>
                <c:pt idx="0">
                  <c:v>データベース</c:v>
                </c:pt>
              </c:strCache>
            </c:strRef>
          </c:tx>
          <c:invertIfNegative val="0"/>
          <c:cat>
            <c:strRef>
              <c:f>データシート!$D$202:$AY$202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データシート!$D$207:$AY$207</c:f>
              <c:numCache>
                <c:formatCode>#,##0_);[Red]\(#,##0\)</c:formatCode>
                <c:ptCount val="48"/>
                <c:pt idx="35">
                  <c:v>1804</c:v>
                </c:pt>
                <c:pt idx="36">
                  <c:v>2086</c:v>
                </c:pt>
                <c:pt idx="37">
                  <c:v>2116.875</c:v>
                </c:pt>
                <c:pt idx="38">
                  <c:v>2074.159090909091</c:v>
                </c:pt>
                <c:pt idx="39">
                  <c:v>2371.318181818182</c:v>
                </c:pt>
                <c:pt idx="40">
                  <c:v>2283.8260869565215</c:v>
                </c:pt>
                <c:pt idx="41">
                  <c:v>2448</c:v>
                </c:pt>
                <c:pt idx="42">
                  <c:v>2442</c:v>
                </c:pt>
                <c:pt idx="43">
                  <c:v>2445</c:v>
                </c:pt>
                <c:pt idx="44">
                  <c:v>2473</c:v>
                </c:pt>
                <c:pt idx="45">
                  <c:v>2524</c:v>
                </c:pt>
                <c:pt idx="46">
                  <c:v>2835</c:v>
                </c:pt>
                <c:pt idx="47">
                  <c:v>3131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B-408F-80E8-C3F92B3CB0D4}"/>
            </c:ext>
          </c:extLst>
        </c:ser>
        <c:ser>
          <c:idx val="5"/>
          <c:order val="5"/>
          <c:tx>
            <c:strRef>
              <c:f>データシート!$C$208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データシート!$D$202:$AY$202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データシート!$D$208:$AY$208</c:f>
              <c:numCache>
                <c:formatCode>#,##0_);[Red]\(#,##0\)</c:formatCode>
                <c:ptCount val="48"/>
                <c:pt idx="0">
                  <c:v>480.66666666666669</c:v>
                </c:pt>
                <c:pt idx="1">
                  <c:v>241.16666666666666</c:v>
                </c:pt>
                <c:pt idx="2">
                  <c:v>295.66666666666669</c:v>
                </c:pt>
                <c:pt idx="3">
                  <c:v>487.05555555555554</c:v>
                </c:pt>
                <c:pt idx="4">
                  <c:v>890.47058823529414</c:v>
                </c:pt>
                <c:pt idx="5">
                  <c:v>506.61111111111109</c:v>
                </c:pt>
                <c:pt idx="6">
                  <c:v>382.88888888888891</c:v>
                </c:pt>
                <c:pt idx="7">
                  <c:v>648.61111111111109</c:v>
                </c:pt>
                <c:pt idx="8">
                  <c:v>602.11111111111109</c:v>
                </c:pt>
                <c:pt idx="9">
                  <c:v>400.72222222222223</c:v>
                </c:pt>
                <c:pt idx="10">
                  <c:v>358.7</c:v>
                </c:pt>
                <c:pt idx="11">
                  <c:v>287.25</c:v>
                </c:pt>
                <c:pt idx="12">
                  <c:v>494.61904761904759</c:v>
                </c:pt>
                <c:pt idx="13">
                  <c:v>1048.75</c:v>
                </c:pt>
                <c:pt idx="14">
                  <c:v>696.47619047619048</c:v>
                </c:pt>
                <c:pt idx="15">
                  <c:v>1007.0952380952381</c:v>
                </c:pt>
                <c:pt idx="16">
                  <c:v>1566.2727272727273</c:v>
                </c:pt>
                <c:pt idx="17">
                  <c:v>2602.7916666666665</c:v>
                </c:pt>
                <c:pt idx="18">
                  <c:v>2366.6799999999998</c:v>
                </c:pt>
                <c:pt idx="19">
                  <c:v>3519.3214285714284</c:v>
                </c:pt>
                <c:pt idx="20">
                  <c:v>2995.3793103448274</c:v>
                </c:pt>
                <c:pt idx="21">
                  <c:v>3590.2727272727275</c:v>
                </c:pt>
                <c:pt idx="22">
                  <c:v>3521.2727272727275</c:v>
                </c:pt>
                <c:pt idx="23">
                  <c:v>3093.2</c:v>
                </c:pt>
                <c:pt idx="24">
                  <c:v>3612.9756097560976</c:v>
                </c:pt>
                <c:pt idx="25">
                  <c:v>2382.9285714285716</c:v>
                </c:pt>
                <c:pt idx="26">
                  <c:v>2628.3720930232557</c:v>
                </c:pt>
                <c:pt idx="27">
                  <c:v>3682.0476190476193</c:v>
                </c:pt>
                <c:pt idx="28">
                  <c:v>2189.7857142857142</c:v>
                </c:pt>
                <c:pt idx="29">
                  <c:v>2610.7105263157896</c:v>
                </c:pt>
                <c:pt idx="30">
                  <c:v>2261.0749999999998</c:v>
                </c:pt>
                <c:pt idx="31">
                  <c:v>2360.3249999999998</c:v>
                </c:pt>
                <c:pt idx="32">
                  <c:v>2277.4358974358975</c:v>
                </c:pt>
                <c:pt idx="33">
                  <c:v>2232.6410256410259</c:v>
                </c:pt>
                <c:pt idx="34">
                  <c:v>2159.65</c:v>
                </c:pt>
                <c:pt idx="35">
                  <c:v>1216.2750000000001</c:v>
                </c:pt>
                <c:pt idx="36">
                  <c:v>699.56410256410254</c:v>
                </c:pt>
                <c:pt idx="37">
                  <c:v>787.85</c:v>
                </c:pt>
                <c:pt idx="38">
                  <c:v>729</c:v>
                </c:pt>
                <c:pt idx="39">
                  <c:v>741.88636363636363</c:v>
                </c:pt>
                <c:pt idx="40">
                  <c:v>1153.891304347826</c:v>
                </c:pt>
                <c:pt idx="41">
                  <c:v>957</c:v>
                </c:pt>
                <c:pt idx="42">
                  <c:v>729</c:v>
                </c:pt>
                <c:pt idx="43">
                  <c:v>884</c:v>
                </c:pt>
                <c:pt idx="44">
                  <c:v>800</c:v>
                </c:pt>
                <c:pt idx="45">
                  <c:v>637</c:v>
                </c:pt>
                <c:pt idx="46">
                  <c:v>776</c:v>
                </c:pt>
                <c:pt idx="47">
                  <c:v>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B-408F-80E8-C3F92B3CB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424448"/>
        <c:axId val="216426368"/>
      </c:barChart>
      <c:lineChart>
        <c:grouping val="standard"/>
        <c:varyColors val="0"/>
        <c:ser>
          <c:idx val="6"/>
          <c:order val="6"/>
          <c:tx>
            <c:strRef>
              <c:f>データシート!$C$210</c:f>
              <c:strCache>
                <c:ptCount val="1"/>
                <c:pt idx="0">
                  <c:v>対大学総経費比率</c:v>
                </c:pt>
              </c:strCache>
            </c:strRef>
          </c:tx>
          <c:cat>
            <c:strRef>
              <c:f>データシート!$D$202:$AY$202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データシート!$D$210:$AY$210</c:f>
              <c:numCache>
                <c:formatCode>#,##0.00_);[Red]\(#,##0.00\)</c:formatCode>
                <c:ptCount val="48"/>
                <c:pt idx="0">
                  <c:v>1.4709904577231208</c:v>
                </c:pt>
                <c:pt idx="1">
                  <c:v>1.4224433462446018</c:v>
                </c:pt>
                <c:pt idx="2">
                  <c:v>1.4813952615176662</c:v>
                </c:pt>
                <c:pt idx="3">
                  <c:v>1.2893848735239182</c:v>
                </c:pt>
                <c:pt idx="4">
                  <c:v>1.2303486080843795</c:v>
                </c:pt>
                <c:pt idx="5">
                  <c:v>1.3525080171910688</c:v>
                </c:pt>
                <c:pt idx="6">
                  <c:v>1.57920128241188</c:v>
                </c:pt>
                <c:pt idx="7">
                  <c:v>1.6294039408542158</c:v>
                </c:pt>
                <c:pt idx="8">
                  <c:v>1.616233649048334</c:v>
                </c:pt>
                <c:pt idx="9">
                  <c:v>1.3525977691505964</c:v>
                </c:pt>
                <c:pt idx="10">
                  <c:v>1.4668392966591761</c:v>
                </c:pt>
                <c:pt idx="11">
                  <c:v>1.4129207161945541</c:v>
                </c:pt>
                <c:pt idx="12">
                  <c:v>1.0931566875158367</c:v>
                </c:pt>
                <c:pt idx="13">
                  <c:v>1.321548208785039</c:v>
                </c:pt>
                <c:pt idx="14">
                  <c:v>0.72822066773209415</c:v>
                </c:pt>
                <c:pt idx="15">
                  <c:v>1.8747486945304588</c:v>
                </c:pt>
                <c:pt idx="16">
                  <c:v>0.98948400307254414</c:v>
                </c:pt>
                <c:pt idx="17">
                  <c:v>2.9394025230810144</c:v>
                </c:pt>
                <c:pt idx="18">
                  <c:v>2.2838184503517471</c:v>
                </c:pt>
                <c:pt idx="19">
                  <c:v>2.5271132550088513</c:v>
                </c:pt>
                <c:pt idx="20">
                  <c:v>2.0163536231563133</c:v>
                </c:pt>
                <c:pt idx="21">
                  <c:v>2.5192168809309257</c:v>
                </c:pt>
                <c:pt idx="22">
                  <c:v>2.3349976719974332</c:v>
                </c:pt>
                <c:pt idx="23">
                  <c:v>0.97697429839431071</c:v>
                </c:pt>
                <c:pt idx="24">
                  <c:v>2.5117296683393633</c:v>
                </c:pt>
                <c:pt idx="25">
                  <c:v>2.1729131309907466</c:v>
                </c:pt>
                <c:pt idx="26">
                  <c:v>2.0210323073320193</c:v>
                </c:pt>
                <c:pt idx="27">
                  <c:v>2.1433108781618455</c:v>
                </c:pt>
                <c:pt idx="28">
                  <c:v>1.8699207110552434</c:v>
                </c:pt>
                <c:pt idx="29">
                  <c:v>1.6757823348113037</c:v>
                </c:pt>
                <c:pt idx="30">
                  <c:v>1.6630321194624449</c:v>
                </c:pt>
                <c:pt idx="31">
                  <c:v>1.6314767698983303</c:v>
                </c:pt>
                <c:pt idx="32">
                  <c:v>1.6107154615735748</c:v>
                </c:pt>
                <c:pt idx="33">
                  <c:v>1.5644195479501009</c:v>
                </c:pt>
                <c:pt idx="34">
                  <c:v>1.486179452590936</c:v>
                </c:pt>
                <c:pt idx="35">
                  <c:v>1.527788643989707</c:v>
                </c:pt>
                <c:pt idx="36">
                  <c:v>1.5346974914081086</c:v>
                </c:pt>
                <c:pt idx="37">
                  <c:v>1.4706815012378407</c:v>
                </c:pt>
                <c:pt idx="38">
                  <c:v>1.508430625109489</c:v>
                </c:pt>
                <c:pt idx="39">
                  <c:v>1.377869745391725</c:v>
                </c:pt>
                <c:pt idx="40">
                  <c:v>1.3522295768890751</c:v>
                </c:pt>
                <c:pt idx="41">
                  <c:v>1.3521144836634358</c:v>
                </c:pt>
                <c:pt idx="42" formatCode="#,##0.000;[Red]\-#,##0.000">
                  <c:v>1.2831497019064129</c:v>
                </c:pt>
                <c:pt idx="43" formatCode="#,##0.000;[Red]\-#,##0.000">
                  <c:v>1.3227477334496074</c:v>
                </c:pt>
                <c:pt idx="44" formatCode="#,##0.000;[Red]\-#,##0.000">
                  <c:v>1.3525640242073209</c:v>
                </c:pt>
                <c:pt idx="45" formatCode="#,##0.000;[Red]\-#,##0.000">
                  <c:v>1.5737350428847805</c:v>
                </c:pt>
                <c:pt idx="46" formatCode="#,##0.000;[Red]\-#,##0.000">
                  <c:v>1.4880411258360513</c:v>
                </c:pt>
                <c:pt idx="47" formatCode="#,##0.000;[Red]\-#,##0.000">
                  <c:v>0.16384509846369971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7CB-408F-80E8-C3F92B3CB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319080"/>
        <c:axId val="568317440"/>
      </c:lineChart>
      <c:catAx>
        <c:axId val="216424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96614797979797995"/>
              <c:y val="0.9559471365638769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16426368"/>
        <c:crosses val="autoZero"/>
        <c:auto val="1"/>
        <c:lblAlgn val="ctr"/>
        <c:lblOffset val="100"/>
        <c:noMultiLvlLbl val="0"/>
      </c:catAx>
      <c:valAx>
        <c:axId val="2164263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2.8153939393939401E-2"/>
              <c:y val="6.3016021675704595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16424448"/>
        <c:crosses val="autoZero"/>
        <c:crossBetween val="between"/>
        <c:dispUnits>
          <c:builtInUnit val="thousands"/>
        </c:dispUnits>
      </c:valAx>
      <c:valAx>
        <c:axId val="568317440"/>
        <c:scaling>
          <c:orientation val="minMax"/>
        </c:scaling>
        <c:delete val="0"/>
        <c:axPos val="r"/>
        <c:numFmt formatCode="#,##0.0;[Red]\-#,##0.0" sourceLinked="0"/>
        <c:majorTickMark val="out"/>
        <c:minorTickMark val="none"/>
        <c:tickLblPos val="nextTo"/>
        <c:crossAx val="568319080"/>
        <c:crosses val="max"/>
        <c:crossBetween val="between"/>
      </c:valAx>
      <c:catAx>
        <c:axId val="568319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83174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1393504277506723"/>
          <c:y val="0.10939786711683067"/>
          <c:w val="0.13189447195996223"/>
          <c:h val="0.28611634949024911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図書館資料費の推移</a:t>
            </a:r>
            <a:r>
              <a:rPr lang="ja-JP" altLang="en-US" baseline="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： 私立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 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1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大学あたり平均額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2493737373737399E-2"/>
          <c:y val="0.100394278908969"/>
          <c:w val="0.91354797979797997"/>
          <c:h val="0.84462266005295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データシート!$C$222</c:f>
              <c:strCache>
                <c:ptCount val="1"/>
                <c:pt idx="0">
                  <c:v>図書</c:v>
                </c:pt>
              </c:strCache>
            </c:strRef>
          </c:tx>
          <c:invertIfNegative val="0"/>
          <c:cat>
            <c:strRef>
              <c:f>データシート!$D$221:$AY$221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データシート!$D$222:$AY$222</c:f>
              <c:numCache>
                <c:formatCode>#,##0_);[Red]\(#,##0\)</c:formatCode>
                <c:ptCount val="48"/>
                <c:pt idx="0">
                  <c:v>24785</c:v>
                </c:pt>
                <c:pt idx="1">
                  <c:v>28690</c:v>
                </c:pt>
                <c:pt idx="2">
                  <c:v>33026</c:v>
                </c:pt>
                <c:pt idx="3">
                  <c:v>38360</c:v>
                </c:pt>
                <c:pt idx="4">
                  <c:v>40891</c:v>
                </c:pt>
                <c:pt idx="5">
                  <c:v>45992</c:v>
                </c:pt>
                <c:pt idx="6">
                  <c:v>49268</c:v>
                </c:pt>
                <c:pt idx="7">
                  <c:v>50649</c:v>
                </c:pt>
                <c:pt idx="8">
                  <c:v>51935</c:v>
                </c:pt>
                <c:pt idx="9">
                  <c:v>55093</c:v>
                </c:pt>
                <c:pt idx="10">
                  <c:v>60687</c:v>
                </c:pt>
                <c:pt idx="11">
                  <c:v>58501</c:v>
                </c:pt>
                <c:pt idx="12">
                  <c:v>58010</c:v>
                </c:pt>
                <c:pt idx="13">
                  <c:v>60360</c:v>
                </c:pt>
                <c:pt idx="14">
                  <c:v>62423</c:v>
                </c:pt>
                <c:pt idx="15">
                  <c:v>63529</c:v>
                </c:pt>
                <c:pt idx="16">
                  <c:v>63226</c:v>
                </c:pt>
                <c:pt idx="17">
                  <c:v>65997</c:v>
                </c:pt>
                <c:pt idx="18">
                  <c:v>64451</c:v>
                </c:pt>
                <c:pt idx="19">
                  <c:v>61802</c:v>
                </c:pt>
                <c:pt idx="20">
                  <c:v>60589</c:v>
                </c:pt>
                <c:pt idx="21">
                  <c:v>58083</c:v>
                </c:pt>
                <c:pt idx="22">
                  <c:v>56243</c:v>
                </c:pt>
                <c:pt idx="23">
                  <c:v>53759</c:v>
                </c:pt>
                <c:pt idx="24">
                  <c:v>56993</c:v>
                </c:pt>
                <c:pt idx="25">
                  <c:v>50672</c:v>
                </c:pt>
                <c:pt idx="26">
                  <c:v>46400</c:v>
                </c:pt>
                <c:pt idx="27">
                  <c:v>42790</c:v>
                </c:pt>
                <c:pt idx="28">
                  <c:v>43430</c:v>
                </c:pt>
                <c:pt idx="29">
                  <c:v>39929</c:v>
                </c:pt>
                <c:pt idx="30">
                  <c:v>38182</c:v>
                </c:pt>
                <c:pt idx="31">
                  <c:v>36201</c:v>
                </c:pt>
                <c:pt idx="32">
                  <c:v>33536</c:v>
                </c:pt>
                <c:pt idx="33">
                  <c:v>31554</c:v>
                </c:pt>
                <c:pt idx="34">
                  <c:v>30192</c:v>
                </c:pt>
                <c:pt idx="35">
                  <c:v>28524</c:v>
                </c:pt>
                <c:pt idx="36">
                  <c:v>26633</c:v>
                </c:pt>
                <c:pt idx="37">
                  <c:v>26032</c:v>
                </c:pt>
                <c:pt idx="38">
                  <c:v>24784</c:v>
                </c:pt>
                <c:pt idx="39">
                  <c:v>23320</c:v>
                </c:pt>
                <c:pt idx="40">
                  <c:v>23320</c:v>
                </c:pt>
                <c:pt idx="41">
                  <c:v>20623</c:v>
                </c:pt>
                <c:pt idx="42">
                  <c:v>20119</c:v>
                </c:pt>
                <c:pt idx="43">
                  <c:v>19034</c:v>
                </c:pt>
                <c:pt idx="44">
                  <c:v>17233</c:v>
                </c:pt>
                <c:pt idx="45">
                  <c:v>15693</c:v>
                </c:pt>
                <c:pt idx="46">
                  <c:v>14655</c:v>
                </c:pt>
                <c:pt idx="47">
                  <c:v>13911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B-4054-9F63-3A021868925E}"/>
            </c:ext>
          </c:extLst>
        </c:ser>
        <c:ser>
          <c:idx val="3"/>
          <c:order val="1"/>
          <c:tx>
            <c:strRef>
              <c:f>データシート!$C$223</c:f>
              <c:strCache>
                <c:ptCount val="1"/>
                <c:pt idx="0">
                  <c:v>雑誌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strRef>
              <c:f>データシート!$D$221:$AY$221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データシート!$D$223:$AY$223</c:f>
              <c:numCache>
                <c:formatCode>#,##0_);[Red]\(#,##0\)</c:formatCode>
                <c:ptCount val="48"/>
                <c:pt idx="0">
                  <c:v>10620</c:v>
                </c:pt>
                <c:pt idx="1">
                  <c:v>12283</c:v>
                </c:pt>
                <c:pt idx="2">
                  <c:v>12879</c:v>
                </c:pt>
                <c:pt idx="3">
                  <c:v>14436</c:v>
                </c:pt>
                <c:pt idx="4">
                  <c:v>15488</c:v>
                </c:pt>
                <c:pt idx="5">
                  <c:v>17726</c:v>
                </c:pt>
                <c:pt idx="6">
                  <c:v>20338</c:v>
                </c:pt>
                <c:pt idx="7">
                  <c:v>23976</c:v>
                </c:pt>
                <c:pt idx="8">
                  <c:v>26159</c:v>
                </c:pt>
                <c:pt idx="9">
                  <c:v>26108</c:v>
                </c:pt>
                <c:pt idx="10">
                  <c:v>27460</c:v>
                </c:pt>
                <c:pt idx="11">
                  <c:v>28059</c:v>
                </c:pt>
                <c:pt idx="12">
                  <c:v>27512</c:v>
                </c:pt>
                <c:pt idx="13">
                  <c:v>29240</c:v>
                </c:pt>
                <c:pt idx="14">
                  <c:v>30049</c:v>
                </c:pt>
                <c:pt idx="15">
                  <c:v>33135</c:v>
                </c:pt>
                <c:pt idx="16">
                  <c:v>34821</c:v>
                </c:pt>
                <c:pt idx="17">
                  <c:v>35675</c:v>
                </c:pt>
                <c:pt idx="18">
                  <c:v>35524</c:v>
                </c:pt>
                <c:pt idx="19">
                  <c:v>33843</c:v>
                </c:pt>
                <c:pt idx="20">
                  <c:v>34759</c:v>
                </c:pt>
                <c:pt idx="21">
                  <c:v>36514</c:v>
                </c:pt>
                <c:pt idx="22">
                  <c:v>38355</c:v>
                </c:pt>
                <c:pt idx="23">
                  <c:v>40972</c:v>
                </c:pt>
                <c:pt idx="24">
                  <c:v>40308</c:v>
                </c:pt>
                <c:pt idx="25">
                  <c:v>37064</c:v>
                </c:pt>
                <c:pt idx="26">
                  <c:v>36970</c:v>
                </c:pt>
                <c:pt idx="27">
                  <c:v>36990</c:v>
                </c:pt>
                <c:pt idx="28">
                  <c:v>37561</c:v>
                </c:pt>
                <c:pt idx="29">
                  <c:v>49452</c:v>
                </c:pt>
                <c:pt idx="30">
                  <c:v>32465</c:v>
                </c:pt>
                <c:pt idx="31">
                  <c:v>31123</c:v>
                </c:pt>
                <c:pt idx="32">
                  <c:v>28797</c:v>
                </c:pt>
                <c:pt idx="33">
                  <c:v>25791</c:v>
                </c:pt>
                <c:pt idx="34">
                  <c:v>22184</c:v>
                </c:pt>
                <c:pt idx="35">
                  <c:v>19159</c:v>
                </c:pt>
                <c:pt idx="36">
                  <c:v>17656</c:v>
                </c:pt>
                <c:pt idx="37">
                  <c:v>16481</c:v>
                </c:pt>
                <c:pt idx="38">
                  <c:v>16441</c:v>
                </c:pt>
                <c:pt idx="39">
                  <c:v>16798</c:v>
                </c:pt>
                <c:pt idx="40">
                  <c:v>16798</c:v>
                </c:pt>
                <c:pt idx="41">
                  <c:v>15237</c:v>
                </c:pt>
                <c:pt idx="42">
                  <c:v>14411</c:v>
                </c:pt>
                <c:pt idx="43">
                  <c:v>13631</c:v>
                </c:pt>
                <c:pt idx="44">
                  <c:v>12762</c:v>
                </c:pt>
                <c:pt idx="45">
                  <c:v>11926</c:v>
                </c:pt>
                <c:pt idx="46">
                  <c:v>11507</c:v>
                </c:pt>
                <c:pt idx="47">
                  <c:v>11342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2B-4054-9F63-3A021868925E}"/>
            </c:ext>
          </c:extLst>
        </c:ser>
        <c:ser>
          <c:idx val="1"/>
          <c:order val="2"/>
          <c:tx>
            <c:strRef>
              <c:f>データシート!$C$224</c:f>
              <c:strCache>
                <c:ptCount val="1"/>
                <c:pt idx="0">
                  <c:v>電子ジャーナル</c:v>
                </c:pt>
              </c:strCache>
            </c:strRef>
          </c:tx>
          <c:invertIfNegative val="0"/>
          <c:cat>
            <c:strRef>
              <c:f>データシート!$D$221:$AY$221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データシート!$D$224:$AY$224</c:f>
              <c:numCache>
                <c:formatCode>#,##0_);[Red]\(#,##0\)</c:formatCode>
                <c:ptCount val="48"/>
                <c:pt idx="29">
                  <c:v>5185</c:v>
                </c:pt>
                <c:pt idx="30">
                  <c:v>7295</c:v>
                </c:pt>
                <c:pt idx="31">
                  <c:v>9646</c:v>
                </c:pt>
                <c:pt idx="32">
                  <c:v>12516</c:v>
                </c:pt>
                <c:pt idx="33">
                  <c:v>15535</c:v>
                </c:pt>
                <c:pt idx="34">
                  <c:v>17675</c:v>
                </c:pt>
                <c:pt idx="35">
                  <c:v>18272</c:v>
                </c:pt>
                <c:pt idx="36">
                  <c:v>19551</c:v>
                </c:pt>
                <c:pt idx="37">
                  <c:v>20444</c:v>
                </c:pt>
                <c:pt idx="38">
                  <c:v>22072</c:v>
                </c:pt>
                <c:pt idx="39">
                  <c:v>24930</c:v>
                </c:pt>
                <c:pt idx="40">
                  <c:v>24930</c:v>
                </c:pt>
                <c:pt idx="41">
                  <c:v>26251</c:v>
                </c:pt>
                <c:pt idx="42">
                  <c:v>25901</c:v>
                </c:pt>
                <c:pt idx="43">
                  <c:v>27399</c:v>
                </c:pt>
                <c:pt idx="44">
                  <c:v>28238</c:v>
                </c:pt>
                <c:pt idx="45">
                  <c:v>28089</c:v>
                </c:pt>
                <c:pt idx="46">
                  <c:v>28146</c:v>
                </c:pt>
                <c:pt idx="47">
                  <c:v>30816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2B-4054-9F63-3A021868925E}"/>
            </c:ext>
          </c:extLst>
        </c:ser>
        <c:ser>
          <c:idx val="2"/>
          <c:order val="3"/>
          <c:tx>
            <c:strRef>
              <c:f>データシート!$C$225</c:f>
              <c:strCache>
                <c:ptCount val="1"/>
                <c:pt idx="0">
                  <c:v>電子書籍</c:v>
                </c:pt>
              </c:strCache>
            </c:strRef>
          </c:tx>
          <c:invertIfNegative val="0"/>
          <c:cat>
            <c:strRef>
              <c:f>データシート!$D$221:$AY$221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データシート!$D$225:$AY$225</c:f>
              <c:numCache>
                <c:formatCode>#,##0_);[Red]\(#,##0\)</c:formatCode>
                <c:ptCount val="48"/>
                <c:pt idx="35">
                  <c:v>622</c:v>
                </c:pt>
                <c:pt idx="36">
                  <c:v>800</c:v>
                </c:pt>
                <c:pt idx="37">
                  <c:v>1140</c:v>
                </c:pt>
                <c:pt idx="38">
                  <c:v>920</c:v>
                </c:pt>
                <c:pt idx="39">
                  <c:v>1045</c:v>
                </c:pt>
                <c:pt idx="40">
                  <c:v>1045</c:v>
                </c:pt>
                <c:pt idx="41">
                  <c:v>1428</c:v>
                </c:pt>
                <c:pt idx="42">
                  <c:v>1795</c:v>
                </c:pt>
                <c:pt idx="43">
                  <c:v>1814</c:v>
                </c:pt>
                <c:pt idx="44">
                  <c:v>1847</c:v>
                </c:pt>
                <c:pt idx="45">
                  <c:v>3071</c:v>
                </c:pt>
                <c:pt idx="46">
                  <c:v>2876</c:v>
                </c:pt>
                <c:pt idx="47">
                  <c:v>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2B-4054-9F63-3A021868925E}"/>
            </c:ext>
          </c:extLst>
        </c:ser>
        <c:ser>
          <c:idx val="4"/>
          <c:order val="4"/>
          <c:tx>
            <c:strRef>
              <c:f>データシート!$C$226</c:f>
              <c:strCache>
                <c:ptCount val="1"/>
                <c:pt idx="0">
                  <c:v>データベース</c:v>
                </c:pt>
              </c:strCache>
            </c:strRef>
          </c:tx>
          <c:invertIfNegative val="0"/>
          <c:cat>
            <c:strRef>
              <c:f>データシート!$D$221:$AY$221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データシート!$D$226:$AY$226</c:f>
              <c:numCache>
                <c:formatCode>#,##0_);[Red]\(#,##0\)</c:formatCode>
                <c:ptCount val="48"/>
                <c:pt idx="35">
                  <c:v>6049</c:v>
                </c:pt>
                <c:pt idx="36">
                  <c:v>6610</c:v>
                </c:pt>
                <c:pt idx="37">
                  <c:v>7006</c:v>
                </c:pt>
                <c:pt idx="38">
                  <c:v>7798</c:v>
                </c:pt>
                <c:pt idx="39">
                  <c:v>8167</c:v>
                </c:pt>
                <c:pt idx="40">
                  <c:v>8167</c:v>
                </c:pt>
                <c:pt idx="41">
                  <c:v>8712</c:v>
                </c:pt>
                <c:pt idx="42">
                  <c:v>9005</c:v>
                </c:pt>
                <c:pt idx="43">
                  <c:v>9370</c:v>
                </c:pt>
                <c:pt idx="44">
                  <c:v>9968</c:v>
                </c:pt>
                <c:pt idx="45">
                  <c:v>10105</c:v>
                </c:pt>
                <c:pt idx="46">
                  <c:v>10571</c:v>
                </c:pt>
                <c:pt idx="47">
                  <c:v>11135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2B-4054-9F63-3A021868925E}"/>
            </c:ext>
          </c:extLst>
        </c:ser>
        <c:ser>
          <c:idx val="5"/>
          <c:order val="5"/>
          <c:tx>
            <c:strRef>
              <c:f>データシート!$C$227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データシート!$D$221:$AY$221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データシート!$D$227:$AY$227</c:f>
              <c:numCache>
                <c:formatCode>#,##0_);[Red]\(#,##0\)</c:formatCode>
                <c:ptCount val="48"/>
                <c:pt idx="0">
                  <c:v>1041</c:v>
                </c:pt>
                <c:pt idx="1">
                  <c:v>1206</c:v>
                </c:pt>
                <c:pt idx="2">
                  <c:v>1567</c:v>
                </c:pt>
                <c:pt idx="3">
                  <c:v>1695</c:v>
                </c:pt>
                <c:pt idx="4">
                  <c:v>2290</c:v>
                </c:pt>
                <c:pt idx="5">
                  <c:v>2671</c:v>
                </c:pt>
                <c:pt idx="6">
                  <c:v>2890</c:v>
                </c:pt>
                <c:pt idx="7">
                  <c:v>3493</c:v>
                </c:pt>
                <c:pt idx="8">
                  <c:v>4491</c:v>
                </c:pt>
                <c:pt idx="9">
                  <c:v>5198</c:v>
                </c:pt>
                <c:pt idx="10">
                  <c:v>5159</c:v>
                </c:pt>
                <c:pt idx="11">
                  <c:v>5467</c:v>
                </c:pt>
                <c:pt idx="12">
                  <c:v>6508</c:v>
                </c:pt>
                <c:pt idx="13">
                  <c:v>6108</c:v>
                </c:pt>
                <c:pt idx="14">
                  <c:v>6274</c:v>
                </c:pt>
                <c:pt idx="15">
                  <c:v>7422</c:v>
                </c:pt>
                <c:pt idx="16">
                  <c:v>7456</c:v>
                </c:pt>
                <c:pt idx="17">
                  <c:v>8392</c:v>
                </c:pt>
                <c:pt idx="18">
                  <c:v>9100</c:v>
                </c:pt>
                <c:pt idx="19">
                  <c:v>10585</c:v>
                </c:pt>
                <c:pt idx="20">
                  <c:v>10085</c:v>
                </c:pt>
                <c:pt idx="21">
                  <c:v>10068</c:v>
                </c:pt>
                <c:pt idx="22">
                  <c:v>9464</c:v>
                </c:pt>
                <c:pt idx="23">
                  <c:v>11005</c:v>
                </c:pt>
                <c:pt idx="24">
                  <c:v>11169</c:v>
                </c:pt>
                <c:pt idx="25">
                  <c:v>10434</c:v>
                </c:pt>
                <c:pt idx="26">
                  <c:v>9616</c:v>
                </c:pt>
                <c:pt idx="27">
                  <c:v>9849</c:v>
                </c:pt>
                <c:pt idx="28">
                  <c:v>9847</c:v>
                </c:pt>
                <c:pt idx="29">
                  <c:v>7449</c:v>
                </c:pt>
                <c:pt idx="30">
                  <c:v>7835</c:v>
                </c:pt>
                <c:pt idx="31">
                  <c:v>8289</c:v>
                </c:pt>
                <c:pt idx="32">
                  <c:v>8746</c:v>
                </c:pt>
                <c:pt idx="33">
                  <c:v>8785</c:v>
                </c:pt>
                <c:pt idx="34">
                  <c:v>9276</c:v>
                </c:pt>
                <c:pt idx="35">
                  <c:v>4840</c:v>
                </c:pt>
                <c:pt idx="36">
                  <c:v>4316</c:v>
                </c:pt>
                <c:pt idx="37">
                  <c:v>4250</c:v>
                </c:pt>
                <c:pt idx="38">
                  <c:v>3913</c:v>
                </c:pt>
                <c:pt idx="39">
                  <c:v>3630</c:v>
                </c:pt>
                <c:pt idx="40">
                  <c:v>3630</c:v>
                </c:pt>
                <c:pt idx="41">
                  <c:v>3424</c:v>
                </c:pt>
                <c:pt idx="42">
                  <c:v>3524</c:v>
                </c:pt>
                <c:pt idx="43">
                  <c:v>3124</c:v>
                </c:pt>
                <c:pt idx="44">
                  <c:v>3173</c:v>
                </c:pt>
                <c:pt idx="45">
                  <c:v>2725</c:v>
                </c:pt>
                <c:pt idx="46">
                  <c:v>2828</c:v>
                </c:pt>
                <c:pt idx="47">
                  <c:v>2616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2B-4054-9F63-3A0218689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215936"/>
        <c:axId val="216217856"/>
      </c:barChart>
      <c:lineChart>
        <c:grouping val="standard"/>
        <c:varyColors val="0"/>
        <c:ser>
          <c:idx val="6"/>
          <c:order val="6"/>
          <c:tx>
            <c:strRef>
              <c:f>データシート!$C$229</c:f>
              <c:strCache>
                <c:ptCount val="1"/>
                <c:pt idx="0">
                  <c:v>対大学総経費比率</c:v>
                </c:pt>
              </c:strCache>
            </c:strRef>
          </c:tx>
          <c:cat>
            <c:strRef>
              <c:f>データシート!$D$221:$AY$221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データシート!$D$229:$AY$229</c:f>
              <c:numCache>
                <c:formatCode>#,##0.00_);[Red]\(#,##0.00\)</c:formatCode>
                <c:ptCount val="48"/>
                <c:pt idx="0">
                  <c:v>1.903237597911227</c:v>
                </c:pt>
                <c:pt idx="1">
                  <c:v>1.6824491424012762</c:v>
                </c:pt>
                <c:pt idx="2">
                  <c:v>1.7779775280898875</c:v>
                </c:pt>
                <c:pt idx="3">
                  <c:v>1.6901364764267992</c:v>
                </c:pt>
                <c:pt idx="4">
                  <c:v>1.8425041902217794</c:v>
                </c:pt>
                <c:pt idx="5">
                  <c:v>1.9750334824549556</c:v>
                </c:pt>
                <c:pt idx="6">
                  <c:v>1.8915316926856531</c:v>
                </c:pt>
                <c:pt idx="7">
                  <c:v>1.8597867713684542</c:v>
                </c:pt>
                <c:pt idx="8">
                  <c:v>1.9352274668496952</c:v>
                </c:pt>
                <c:pt idx="9">
                  <c:v>1.7862699171917857</c:v>
                </c:pt>
                <c:pt idx="10">
                  <c:v>1.8355391829956196</c:v>
                </c:pt>
                <c:pt idx="11">
                  <c:v>1.792000791364623</c:v>
                </c:pt>
                <c:pt idx="12">
                  <c:v>1.7508363701393268</c:v>
                </c:pt>
                <c:pt idx="13">
                  <c:v>1.7645721609883331</c:v>
                </c:pt>
                <c:pt idx="14">
                  <c:v>1.7252850548444474</c:v>
                </c:pt>
                <c:pt idx="15">
                  <c:v>1.8062671496984288</c:v>
                </c:pt>
                <c:pt idx="16">
                  <c:v>1.7713292272512449</c:v>
                </c:pt>
                <c:pt idx="17">
                  <c:v>1.7597687921159593</c:v>
                </c:pt>
                <c:pt idx="18">
                  <c:v>1.7340072901520671</c:v>
                </c:pt>
                <c:pt idx="19">
                  <c:v>1.6268688968487321</c:v>
                </c:pt>
                <c:pt idx="20">
                  <c:v>1.7016347527099414</c:v>
                </c:pt>
                <c:pt idx="21">
                  <c:v>1.6767414264949976</c:v>
                </c:pt>
                <c:pt idx="22">
                  <c:v>1.6577176696308327</c:v>
                </c:pt>
                <c:pt idx="23">
                  <c:v>1.7026690688307613</c:v>
                </c:pt>
                <c:pt idx="24">
                  <c:v>1.7836752359377916</c:v>
                </c:pt>
                <c:pt idx="25">
                  <c:v>1.6726739508323925</c:v>
                </c:pt>
                <c:pt idx="26">
                  <c:v>1.5266392265093591</c:v>
                </c:pt>
                <c:pt idx="27">
                  <c:v>1.5448882864615525</c:v>
                </c:pt>
                <c:pt idx="28">
                  <c:v>1.5866996566791236</c:v>
                </c:pt>
                <c:pt idx="29">
                  <c:v>1.6839502040003784</c:v>
                </c:pt>
                <c:pt idx="30">
                  <c:v>1.4171357162245908</c:v>
                </c:pt>
                <c:pt idx="31">
                  <c:v>1.3384173244180864</c:v>
                </c:pt>
                <c:pt idx="32">
                  <c:v>1.2807197548808347</c:v>
                </c:pt>
                <c:pt idx="33">
                  <c:v>1.2953702378916732</c:v>
                </c:pt>
                <c:pt idx="34">
                  <c:v>1.256820445643906</c:v>
                </c:pt>
                <c:pt idx="35">
                  <c:v>1.2447980089659523</c:v>
                </c:pt>
                <c:pt idx="36">
                  <c:v>1.2113950584905382</c:v>
                </c:pt>
                <c:pt idx="37">
                  <c:v>1.1718681352861358</c:v>
                </c:pt>
                <c:pt idx="38">
                  <c:v>1.1630965315894033</c:v>
                </c:pt>
                <c:pt idx="39">
                  <c:v>1.1872628599057262</c:v>
                </c:pt>
                <c:pt idx="40">
                  <c:v>1.1316008658221235</c:v>
                </c:pt>
                <c:pt idx="41">
                  <c:v>1.1351077463622552</c:v>
                </c:pt>
                <c:pt idx="42" formatCode="#,##0.000;[Red]\-#,##0.000">
                  <c:v>1.1421684415647324</c:v>
                </c:pt>
                <c:pt idx="43" formatCode="#,##0.000;[Red]\-#,##0.000">
                  <c:v>1.1430225371170246</c:v>
                </c:pt>
                <c:pt idx="44" formatCode="#,##0.000;[Red]\-#,##0.000">
                  <c:v>1.1234784197114545</c:v>
                </c:pt>
                <c:pt idx="45" formatCode="#,##0.000;[Red]\-#,##0.000">
                  <c:v>1.0644212244052318</c:v>
                </c:pt>
                <c:pt idx="46" formatCode="#,##0.000;[Red]\-#,##0.000">
                  <c:v>1.0949864386314891</c:v>
                </c:pt>
                <c:pt idx="47" formatCode="#,##0.000;[Red]\-#,##0.000">
                  <c:v>0.70139869844748726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D2B-4054-9F63-3A0218689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340312"/>
        <c:axId val="413339984"/>
      </c:lineChart>
      <c:catAx>
        <c:axId val="21621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95331969696969698"/>
              <c:y val="0.9559471365638769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16217856"/>
        <c:crosses val="autoZero"/>
        <c:auto val="1"/>
        <c:lblAlgn val="ctr"/>
        <c:lblOffset val="100"/>
        <c:noMultiLvlLbl val="0"/>
      </c:catAx>
      <c:valAx>
        <c:axId val="2162178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3.4568080808080798E-2"/>
              <c:y val="6.8889736800521101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16215936"/>
        <c:crosses val="autoZero"/>
        <c:crossBetween val="between"/>
        <c:dispUnits>
          <c:builtInUnit val="thousands"/>
        </c:dispUnits>
      </c:valAx>
      <c:valAx>
        <c:axId val="413339984"/>
        <c:scaling>
          <c:orientation val="minMax"/>
        </c:scaling>
        <c:delete val="0"/>
        <c:axPos val="r"/>
        <c:numFmt formatCode="#,##0.0;[Red]\-#,##0.0" sourceLinked="0"/>
        <c:majorTickMark val="out"/>
        <c:minorTickMark val="none"/>
        <c:tickLblPos val="nextTo"/>
        <c:crossAx val="413340312"/>
        <c:crosses val="max"/>
        <c:crossBetween val="between"/>
      </c:valAx>
      <c:catAx>
        <c:axId val="413340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33399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791470071533355"/>
          <c:y val="0.104650024473813"/>
          <c:w val="0.13165767759814928"/>
          <c:h val="0.28611634949024911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図書館資料費の推移</a:t>
            </a:r>
            <a:r>
              <a:rPr lang="ja-JP" altLang="en-US" baseline="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： 私立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</a:t>
            </a:r>
            <a:r>
              <a:rPr lang="en-US" altLang="ja-JP" sz="1800" b="1" i="0" u="none" strike="noStrike" baseline="0">
                <a:effectLst/>
              </a:rPr>
              <a:t>A(8</a:t>
            </a:r>
            <a:r>
              <a:rPr lang="ja-JP" altLang="ja-JP" sz="1800" b="1" i="0" u="none" strike="noStrike" baseline="0">
                <a:effectLst/>
              </a:rPr>
              <a:t>学部以上</a:t>
            </a:r>
            <a:r>
              <a:rPr lang="en-US" altLang="ja-JP" sz="1800" b="1" i="0" u="none" strike="noStrike" baseline="0">
                <a:effectLst/>
              </a:rPr>
              <a:t>)</a:t>
            </a:r>
            <a:r>
              <a:rPr lang="ja-JP" altLang="ja-JP" sz="1800" b="1" i="0" u="none" strike="noStrike" baseline="0">
                <a:effectLst/>
              </a:rPr>
              <a:t> 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1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大学あたり平均額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4039171202757703E-2"/>
          <c:y val="0.100394278908969"/>
          <c:w val="0.91589020202020199"/>
          <c:h val="0.84462266005295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データシート!$C$241</c:f>
              <c:strCache>
                <c:ptCount val="1"/>
                <c:pt idx="0">
                  <c:v>図書</c:v>
                </c:pt>
              </c:strCache>
            </c:strRef>
          </c:tx>
          <c:invertIfNegative val="0"/>
          <c:cat>
            <c:strRef>
              <c:f>データシート!$D$240:$AY$240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データシート!$D$241:$AY$241</c:f>
              <c:numCache>
                <c:formatCode>#,##0_);[Red]\(#,##0\)</c:formatCode>
                <c:ptCount val="48"/>
                <c:pt idx="0">
                  <c:v>261848.75</c:v>
                </c:pt>
                <c:pt idx="1">
                  <c:v>304306.25</c:v>
                </c:pt>
                <c:pt idx="2">
                  <c:v>326248.5</c:v>
                </c:pt>
                <c:pt idx="3">
                  <c:v>362513</c:v>
                </c:pt>
                <c:pt idx="4">
                  <c:v>364385</c:v>
                </c:pt>
                <c:pt idx="5">
                  <c:v>436969.5</c:v>
                </c:pt>
                <c:pt idx="6">
                  <c:v>437554.5</c:v>
                </c:pt>
                <c:pt idx="7">
                  <c:v>454504.5</c:v>
                </c:pt>
                <c:pt idx="8">
                  <c:v>455646.75</c:v>
                </c:pt>
                <c:pt idx="9">
                  <c:v>497114</c:v>
                </c:pt>
                <c:pt idx="10">
                  <c:v>601711.25</c:v>
                </c:pt>
                <c:pt idx="11">
                  <c:v>545141</c:v>
                </c:pt>
                <c:pt idx="12">
                  <c:v>564896</c:v>
                </c:pt>
                <c:pt idx="13">
                  <c:v>561191.19999999995</c:v>
                </c:pt>
                <c:pt idx="14">
                  <c:v>557983</c:v>
                </c:pt>
                <c:pt idx="15">
                  <c:v>502468.28571428574</c:v>
                </c:pt>
                <c:pt idx="16">
                  <c:v>489150.28571428574</c:v>
                </c:pt>
                <c:pt idx="17">
                  <c:v>488808.14285714284</c:v>
                </c:pt>
                <c:pt idx="18">
                  <c:v>486367.125</c:v>
                </c:pt>
                <c:pt idx="19">
                  <c:v>416360.90909090912</c:v>
                </c:pt>
                <c:pt idx="20">
                  <c:v>468709.88888888888</c:v>
                </c:pt>
                <c:pt idx="21">
                  <c:v>360608.69230769231</c:v>
                </c:pt>
                <c:pt idx="22">
                  <c:v>367999.5</c:v>
                </c:pt>
                <c:pt idx="23">
                  <c:v>343738.18181818182</c:v>
                </c:pt>
                <c:pt idx="24">
                  <c:v>408604.41666666669</c:v>
                </c:pt>
                <c:pt idx="25">
                  <c:v>350004.75</c:v>
                </c:pt>
                <c:pt idx="26">
                  <c:v>301646</c:v>
                </c:pt>
                <c:pt idx="27">
                  <c:v>280509.42857142858</c:v>
                </c:pt>
                <c:pt idx="28">
                  <c:v>299115.40000000002</c:v>
                </c:pt>
                <c:pt idx="29">
                  <c:v>262138.5</c:v>
                </c:pt>
                <c:pt idx="30">
                  <c:v>253373.14285714287</c:v>
                </c:pt>
                <c:pt idx="31">
                  <c:v>243405.82608695651</c:v>
                </c:pt>
                <c:pt idx="32">
                  <c:v>214109.07692307694</c:v>
                </c:pt>
                <c:pt idx="33">
                  <c:v>207639.77777777778</c:v>
                </c:pt>
                <c:pt idx="34">
                  <c:v>201971.75</c:v>
                </c:pt>
                <c:pt idx="35">
                  <c:v>190801.4827586207</c:v>
                </c:pt>
                <c:pt idx="36">
                  <c:v>182167.7</c:v>
                </c:pt>
                <c:pt idx="37">
                  <c:v>174722.1875</c:v>
                </c:pt>
                <c:pt idx="38">
                  <c:v>152868.44444444444</c:v>
                </c:pt>
                <c:pt idx="39">
                  <c:v>134901.36842105264</c:v>
                </c:pt>
                <c:pt idx="40">
                  <c:v>123547.6</c:v>
                </c:pt>
                <c:pt idx="41">
                  <c:v>107240</c:v>
                </c:pt>
                <c:pt idx="42">
                  <c:v>109580</c:v>
                </c:pt>
                <c:pt idx="43">
                  <c:v>100673</c:v>
                </c:pt>
                <c:pt idx="44">
                  <c:v>95525</c:v>
                </c:pt>
                <c:pt idx="45">
                  <c:v>80976</c:v>
                </c:pt>
                <c:pt idx="46">
                  <c:v>78356</c:v>
                </c:pt>
                <c:pt idx="47">
                  <c:v>67939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7-4510-87E6-363F8B5B898D}"/>
            </c:ext>
          </c:extLst>
        </c:ser>
        <c:ser>
          <c:idx val="3"/>
          <c:order val="1"/>
          <c:tx>
            <c:strRef>
              <c:f>データシート!$C$242</c:f>
              <c:strCache>
                <c:ptCount val="1"/>
                <c:pt idx="0">
                  <c:v>雑誌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strRef>
              <c:f>データシート!$D$240:$AY$240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データシート!$D$242:$AY$242</c:f>
              <c:numCache>
                <c:formatCode>#,##0_);[Red]\(#,##0\)</c:formatCode>
                <c:ptCount val="48"/>
                <c:pt idx="0">
                  <c:v>134381.75</c:v>
                </c:pt>
                <c:pt idx="1">
                  <c:v>173624.75</c:v>
                </c:pt>
                <c:pt idx="2">
                  <c:v>162404.5</c:v>
                </c:pt>
                <c:pt idx="3">
                  <c:v>184705.5</c:v>
                </c:pt>
                <c:pt idx="4">
                  <c:v>194144.25</c:v>
                </c:pt>
                <c:pt idx="5">
                  <c:v>196409</c:v>
                </c:pt>
                <c:pt idx="6">
                  <c:v>221087.25</c:v>
                </c:pt>
                <c:pt idx="7">
                  <c:v>283955.5</c:v>
                </c:pt>
                <c:pt idx="8">
                  <c:v>295510.5</c:v>
                </c:pt>
                <c:pt idx="9">
                  <c:v>306710.25</c:v>
                </c:pt>
                <c:pt idx="10">
                  <c:v>320279</c:v>
                </c:pt>
                <c:pt idx="11">
                  <c:v>317103.8</c:v>
                </c:pt>
                <c:pt idx="12">
                  <c:v>322740.40000000002</c:v>
                </c:pt>
                <c:pt idx="13">
                  <c:v>353479.4</c:v>
                </c:pt>
                <c:pt idx="14">
                  <c:v>342524.66666666669</c:v>
                </c:pt>
                <c:pt idx="15">
                  <c:v>339198.85714285716</c:v>
                </c:pt>
                <c:pt idx="16">
                  <c:v>360085</c:v>
                </c:pt>
                <c:pt idx="17">
                  <c:v>358814.57142857142</c:v>
                </c:pt>
                <c:pt idx="18">
                  <c:v>351894.375</c:v>
                </c:pt>
                <c:pt idx="19">
                  <c:v>280412.27272727271</c:v>
                </c:pt>
                <c:pt idx="20">
                  <c:v>336227.77777777775</c:v>
                </c:pt>
                <c:pt idx="21">
                  <c:v>284285.61538461538</c:v>
                </c:pt>
                <c:pt idx="22">
                  <c:v>359905.6</c:v>
                </c:pt>
                <c:pt idx="23">
                  <c:v>365858.81818181818</c:v>
                </c:pt>
                <c:pt idx="24">
                  <c:v>347822.33333333331</c:v>
                </c:pt>
                <c:pt idx="25">
                  <c:v>334149.5</c:v>
                </c:pt>
                <c:pt idx="26">
                  <c:v>316058.46153846156</c:v>
                </c:pt>
                <c:pt idx="27">
                  <c:v>313238.35714285716</c:v>
                </c:pt>
                <c:pt idx="28">
                  <c:v>332102.40000000002</c:v>
                </c:pt>
                <c:pt idx="29">
                  <c:v>250741.5</c:v>
                </c:pt>
                <c:pt idx="30">
                  <c:v>249253.57142857142</c:v>
                </c:pt>
                <c:pt idx="31">
                  <c:v>239169</c:v>
                </c:pt>
                <c:pt idx="32">
                  <c:v>206323.73076923078</c:v>
                </c:pt>
                <c:pt idx="33">
                  <c:v>180431.70370370371</c:v>
                </c:pt>
                <c:pt idx="34">
                  <c:v>148067.67857142858</c:v>
                </c:pt>
                <c:pt idx="35">
                  <c:v>123110.68965517242</c:v>
                </c:pt>
                <c:pt idx="36">
                  <c:v>111000.5</c:v>
                </c:pt>
                <c:pt idx="37">
                  <c:v>97134.375</c:v>
                </c:pt>
                <c:pt idx="38">
                  <c:v>90077.583333333328</c:v>
                </c:pt>
                <c:pt idx="39">
                  <c:v>91678.236842105267</c:v>
                </c:pt>
                <c:pt idx="40">
                  <c:v>87589.05</c:v>
                </c:pt>
                <c:pt idx="41">
                  <c:v>76196</c:v>
                </c:pt>
                <c:pt idx="42">
                  <c:v>74381</c:v>
                </c:pt>
                <c:pt idx="43">
                  <c:v>73953</c:v>
                </c:pt>
                <c:pt idx="44">
                  <c:v>70170</c:v>
                </c:pt>
                <c:pt idx="45">
                  <c:v>62435</c:v>
                </c:pt>
                <c:pt idx="46">
                  <c:v>61829</c:v>
                </c:pt>
                <c:pt idx="47">
                  <c:v>59728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7-4510-87E6-363F8B5B898D}"/>
            </c:ext>
          </c:extLst>
        </c:ser>
        <c:ser>
          <c:idx val="1"/>
          <c:order val="2"/>
          <c:tx>
            <c:strRef>
              <c:f>データシート!$C$243</c:f>
              <c:strCache>
                <c:ptCount val="1"/>
                <c:pt idx="0">
                  <c:v>電子ジャーナル</c:v>
                </c:pt>
              </c:strCache>
            </c:strRef>
          </c:tx>
          <c:invertIfNegative val="0"/>
          <c:cat>
            <c:strRef>
              <c:f>データシート!$D$240:$AY$240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データシート!$D$243:$AY$243</c:f>
              <c:numCache>
                <c:formatCode>#,##0_);[Red]\(#,##0\)</c:formatCode>
                <c:ptCount val="48"/>
                <c:pt idx="29">
                  <c:v>53732.95</c:v>
                </c:pt>
                <c:pt idx="30">
                  <c:v>72826.761904761908</c:v>
                </c:pt>
                <c:pt idx="31">
                  <c:v>89422.608695652176</c:v>
                </c:pt>
                <c:pt idx="32">
                  <c:v>102747.5</c:v>
                </c:pt>
                <c:pt idx="33">
                  <c:v>131149.07407407407</c:v>
                </c:pt>
                <c:pt idx="34">
                  <c:v>148050.14285714287</c:v>
                </c:pt>
                <c:pt idx="35">
                  <c:v>152426.41379310345</c:v>
                </c:pt>
                <c:pt idx="36">
                  <c:v>161336.86666666667</c:v>
                </c:pt>
                <c:pt idx="37">
                  <c:v>153680.875</c:v>
                </c:pt>
                <c:pt idx="38">
                  <c:v>147036.58333333334</c:v>
                </c:pt>
                <c:pt idx="39">
                  <c:v>159899.55263157896</c:v>
                </c:pt>
                <c:pt idx="40">
                  <c:v>159604.65</c:v>
                </c:pt>
                <c:pt idx="41">
                  <c:v>141185</c:v>
                </c:pt>
                <c:pt idx="42">
                  <c:v>142854</c:v>
                </c:pt>
                <c:pt idx="43">
                  <c:v>157053</c:v>
                </c:pt>
                <c:pt idx="44">
                  <c:v>173193</c:v>
                </c:pt>
                <c:pt idx="45">
                  <c:v>168900</c:v>
                </c:pt>
                <c:pt idx="46">
                  <c:v>165601</c:v>
                </c:pt>
                <c:pt idx="47">
                  <c:v>180261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A7-4510-87E6-363F8B5B898D}"/>
            </c:ext>
          </c:extLst>
        </c:ser>
        <c:ser>
          <c:idx val="2"/>
          <c:order val="3"/>
          <c:tx>
            <c:strRef>
              <c:f>データシート!$C$244</c:f>
              <c:strCache>
                <c:ptCount val="1"/>
                <c:pt idx="0">
                  <c:v>電子書籍</c:v>
                </c:pt>
              </c:strCache>
            </c:strRef>
          </c:tx>
          <c:invertIfNegative val="0"/>
          <c:cat>
            <c:strRef>
              <c:f>データシート!$D$240:$AY$240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データシート!$D$244:$AY$244</c:f>
              <c:numCache>
                <c:formatCode>#,##0_);[Red]\(#,##0\)</c:formatCode>
                <c:ptCount val="48"/>
                <c:pt idx="35">
                  <c:v>5833.5517241379312</c:v>
                </c:pt>
                <c:pt idx="36">
                  <c:v>5443</c:v>
                </c:pt>
                <c:pt idx="37">
                  <c:v>8244.84375</c:v>
                </c:pt>
                <c:pt idx="38">
                  <c:v>5478.3055555555557</c:v>
                </c:pt>
                <c:pt idx="39">
                  <c:v>5636.0789473684208</c:v>
                </c:pt>
                <c:pt idx="40">
                  <c:v>6174.35</c:v>
                </c:pt>
                <c:pt idx="41">
                  <c:v>7968</c:v>
                </c:pt>
                <c:pt idx="42">
                  <c:v>11134</c:v>
                </c:pt>
                <c:pt idx="43">
                  <c:v>12591</c:v>
                </c:pt>
                <c:pt idx="44">
                  <c:v>13413</c:v>
                </c:pt>
                <c:pt idx="45">
                  <c:v>20849</c:v>
                </c:pt>
                <c:pt idx="46">
                  <c:v>18456</c:v>
                </c:pt>
                <c:pt idx="47">
                  <c:v>16642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A7-4510-87E6-363F8B5B898D}"/>
            </c:ext>
          </c:extLst>
        </c:ser>
        <c:ser>
          <c:idx val="4"/>
          <c:order val="4"/>
          <c:tx>
            <c:strRef>
              <c:f>データシート!$C$245</c:f>
              <c:strCache>
                <c:ptCount val="1"/>
                <c:pt idx="0">
                  <c:v>データベース</c:v>
                </c:pt>
              </c:strCache>
            </c:strRef>
          </c:tx>
          <c:invertIfNegative val="0"/>
          <c:cat>
            <c:strRef>
              <c:f>データシート!$D$240:$AY$240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データシート!$D$245:$AY$245</c:f>
              <c:numCache>
                <c:formatCode>#,##0_);[Red]\(#,##0\)</c:formatCode>
                <c:ptCount val="48"/>
                <c:pt idx="35">
                  <c:v>46779.689655172413</c:v>
                </c:pt>
                <c:pt idx="36">
                  <c:v>48080.333333333336</c:v>
                </c:pt>
                <c:pt idx="37">
                  <c:v>51622.84375</c:v>
                </c:pt>
                <c:pt idx="38">
                  <c:v>58259.805555555555</c:v>
                </c:pt>
                <c:pt idx="39">
                  <c:v>54811.184210526313</c:v>
                </c:pt>
                <c:pt idx="40">
                  <c:v>54291.974999999999</c:v>
                </c:pt>
                <c:pt idx="41">
                  <c:v>52041</c:v>
                </c:pt>
                <c:pt idx="42">
                  <c:v>54525</c:v>
                </c:pt>
                <c:pt idx="43">
                  <c:v>59062</c:v>
                </c:pt>
                <c:pt idx="44">
                  <c:v>61914</c:v>
                </c:pt>
                <c:pt idx="45">
                  <c:v>65113</c:v>
                </c:pt>
                <c:pt idx="46">
                  <c:v>68540</c:v>
                </c:pt>
                <c:pt idx="47">
                  <c:v>66281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A7-4510-87E6-363F8B5B898D}"/>
            </c:ext>
          </c:extLst>
        </c:ser>
        <c:ser>
          <c:idx val="5"/>
          <c:order val="5"/>
          <c:tx>
            <c:strRef>
              <c:f>データシート!$C$246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データシート!$D$240:$AY$240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データシート!$D$246:$AY$246</c:f>
              <c:numCache>
                <c:formatCode>#,##0_);[Red]\(#,##0\)</c:formatCode>
                <c:ptCount val="48"/>
                <c:pt idx="0">
                  <c:v>15763.5</c:v>
                </c:pt>
                <c:pt idx="1">
                  <c:v>13568.5</c:v>
                </c:pt>
                <c:pt idx="2">
                  <c:v>28440</c:v>
                </c:pt>
                <c:pt idx="3">
                  <c:v>29526.25</c:v>
                </c:pt>
                <c:pt idx="4">
                  <c:v>26901.75</c:v>
                </c:pt>
                <c:pt idx="5">
                  <c:v>27333.75</c:v>
                </c:pt>
                <c:pt idx="6">
                  <c:v>34388.25</c:v>
                </c:pt>
                <c:pt idx="7">
                  <c:v>54498.25</c:v>
                </c:pt>
                <c:pt idx="8">
                  <c:v>55282.25</c:v>
                </c:pt>
                <c:pt idx="9">
                  <c:v>71500</c:v>
                </c:pt>
                <c:pt idx="10">
                  <c:v>62277</c:v>
                </c:pt>
                <c:pt idx="11">
                  <c:v>83992</c:v>
                </c:pt>
                <c:pt idx="12">
                  <c:v>92973.4</c:v>
                </c:pt>
                <c:pt idx="13">
                  <c:v>87135.2</c:v>
                </c:pt>
                <c:pt idx="14">
                  <c:v>85442.166666666672</c:v>
                </c:pt>
                <c:pt idx="15">
                  <c:v>105382.85714285714</c:v>
                </c:pt>
                <c:pt idx="16">
                  <c:v>87749.71428571429</c:v>
                </c:pt>
                <c:pt idx="17">
                  <c:v>88920.857142857145</c:v>
                </c:pt>
                <c:pt idx="18">
                  <c:v>103084.375</c:v>
                </c:pt>
                <c:pt idx="19">
                  <c:v>82932.272727272721</c:v>
                </c:pt>
                <c:pt idx="20">
                  <c:v>86921.333333333328</c:v>
                </c:pt>
                <c:pt idx="21">
                  <c:v>83991.846153846156</c:v>
                </c:pt>
                <c:pt idx="22">
                  <c:v>72603.5</c:v>
                </c:pt>
                <c:pt idx="23">
                  <c:v>76071.363636363632</c:v>
                </c:pt>
                <c:pt idx="24">
                  <c:v>88356.833333333328</c:v>
                </c:pt>
                <c:pt idx="25">
                  <c:v>89134.25</c:v>
                </c:pt>
                <c:pt idx="26">
                  <c:v>97515.230769230766</c:v>
                </c:pt>
                <c:pt idx="27">
                  <c:v>102510.07142857143</c:v>
                </c:pt>
                <c:pt idx="28">
                  <c:v>102322</c:v>
                </c:pt>
                <c:pt idx="29">
                  <c:v>67841.149999999994</c:v>
                </c:pt>
                <c:pt idx="30">
                  <c:v>73563.380952380947</c:v>
                </c:pt>
                <c:pt idx="31">
                  <c:v>78261.826086956527</c:v>
                </c:pt>
                <c:pt idx="32">
                  <c:v>77887.076923076922</c:v>
                </c:pt>
                <c:pt idx="33">
                  <c:v>73085.555555555562</c:v>
                </c:pt>
                <c:pt idx="34">
                  <c:v>79466.428571428565</c:v>
                </c:pt>
                <c:pt idx="35">
                  <c:v>38784.896551724138</c:v>
                </c:pt>
                <c:pt idx="36">
                  <c:v>33498.633333333331</c:v>
                </c:pt>
                <c:pt idx="37">
                  <c:v>31353.15625</c:v>
                </c:pt>
                <c:pt idx="38">
                  <c:v>25335.583333333332</c:v>
                </c:pt>
                <c:pt idx="39">
                  <c:v>22025.5</c:v>
                </c:pt>
                <c:pt idx="40">
                  <c:v>21026.55</c:v>
                </c:pt>
                <c:pt idx="41">
                  <c:v>19015</c:v>
                </c:pt>
                <c:pt idx="42">
                  <c:v>22258</c:v>
                </c:pt>
                <c:pt idx="43">
                  <c:v>16540</c:v>
                </c:pt>
                <c:pt idx="44">
                  <c:v>14995</c:v>
                </c:pt>
                <c:pt idx="45">
                  <c:v>13640</c:v>
                </c:pt>
                <c:pt idx="46">
                  <c:v>14409</c:v>
                </c:pt>
                <c:pt idx="47">
                  <c:v>12177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A7-4510-87E6-363F8B5B8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478848"/>
        <c:axId val="216480768"/>
      </c:barChart>
      <c:lineChart>
        <c:grouping val="standard"/>
        <c:varyColors val="0"/>
        <c:ser>
          <c:idx val="6"/>
          <c:order val="6"/>
          <c:tx>
            <c:strRef>
              <c:f>データシート!$C$248</c:f>
              <c:strCache>
                <c:ptCount val="1"/>
                <c:pt idx="0">
                  <c:v>対大学総経費比率</c:v>
                </c:pt>
              </c:strCache>
            </c:strRef>
          </c:tx>
          <c:cat>
            <c:strRef>
              <c:f>データシート!$D$240:$AY$240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データシート!$D$248:$AY$248</c:f>
              <c:numCache>
                <c:formatCode>#,##0.00_);[Red]\(#,##0.00\)</c:formatCode>
                <c:ptCount val="48"/>
                <c:pt idx="0">
                  <c:v>1.9587747970475318</c:v>
                </c:pt>
                <c:pt idx="1">
                  <c:v>1.9624655619884208</c:v>
                </c:pt>
                <c:pt idx="2">
                  <c:v>1.9857260805284076</c:v>
                </c:pt>
                <c:pt idx="3">
                  <c:v>1.3756665215654238</c:v>
                </c:pt>
                <c:pt idx="4">
                  <c:v>1.7375668725812317</c:v>
                </c:pt>
                <c:pt idx="5">
                  <c:v>2.6413952288939213</c:v>
                </c:pt>
                <c:pt idx="6">
                  <c:v>1.5168194037321487</c:v>
                </c:pt>
                <c:pt idx="7">
                  <c:v>1.6579044434445036</c:v>
                </c:pt>
                <c:pt idx="8">
                  <c:v>1.5489045191983255</c:v>
                </c:pt>
                <c:pt idx="9">
                  <c:v>1.5904004648426624</c:v>
                </c:pt>
                <c:pt idx="10">
                  <c:v>1.7704837205480957</c:v>
                </c:pt>
                <c:pt idx="11">
                  <c:v>1.7613128389020256</c:v>
                </c:pt>
                <c:pt idx="12">
                  <c:v>1.7250089737918977</c:v>
                </c:pt>
                <c:pt idx="13">
                  <c:v>1.6453377676413063</c:v>
                </c:pt>
                <c:pt idx="14">
                  <c:v>1.5253566561884684</c:v>
                </c:pt>
                <c:pt idx="15">
                  <c:v>1.5960030893078749</c:v>
                </c:pt>
                <c:pt idx="16">
                  <c:v>1.6693924514021492</c:v>
                </c:pt>
                <c:pt idx="17">
                  <c:v>1.5906098181530488</c:v>
                </c:pt>
                <c:pt idx="18">
                  <c:v>1.6647175870214717</c:v>
                </c:pt>
                <c:pt idx="19">
                  <c:v>1.3481723355066935</c:v>
                </c:pt>
                <c:pt idx="20">
                  <c:v>1.6300304520484643</c:v>
                </c:pt>
                <c:pt idx="21">
                  <c:v>1.5943264865471392</c:v>
                </c:pt>
                <c:pt idx="22">
                  <c:v>1.5127001901136639</c:v>
                </c:pt>
                <c:pt idx="23">
                  <c:v>1.4241910107169156</c:v>
                </c:pt>
                <c:pt idx="24">
                  <c:v>1.5937252527079746</c:v>
                </c:pt>
                <c:pt idx="25">
                  <c:v>1.4772982773816439</c:v>
                </c:pt>
                <c:pt idx="26">
                  <c:v>1.3914450677884658</c:v>
                </c:pt>
                <c:pt idx="27">
                  <c:v>1.4333611061344949</c:v>
                </c:pt>
                <c:pt idx="28">
                  <c:v>1.4586462480652296</c:v>
                </c:pt>
                <c:pt idx="29">
                  <c:v>1.5742069721547176</c:v>
                </c:pt>
                <c:pt idx="30">
                  <c:v>1.6220880412410548</c:v>
                </c:pt>
                <c:pt idx="31">
                  <c:v>1.5072877325481462</c:v>
                </c:pt>
                <c:pt idx="32">
                  <c:v>1.3080677341245188</c:v>
                </c:pt>
                <c:pt idx="33">
                  <c:v>1.4306088571477102</c:v>
                </c:pt>
                <c:pt idx="34">
                  <c:v>1.4370343045175804</c:v>
                </c:pt>
                <c:pt idx="35">
                  <c:v>1.41698511273553</c:v>
                </c:pt>
                <c:pt idx="36">
                  <c:v>1.377344479572761</c:v>
                </c:pt>
                <c:pt idx="37">
                  <c:v>1.3662057030359946</c:v>
                </c:pt>
                <c:pt idx="38">
                  <c:v>1.3367859998297418</c:v>
                </c:pt>
                <c:pt idx="39">
                  <c:v>1.3358348684852981</c:v>
                </c:pt>
                <c:pt idx="40">
                  <c:v>1.2418513900351893</c:v>
                </c:pt>
                <c:pt idx="41">
                  <c:v>1.2081639398110176</c:v>
                </c:pt>
                <c:pt idx="42" formatCode="#,##0.000;[Red]\-#,##0.000">
                  <c:v>1.2487963954455927</c:v>
                </c:pt>
                <c:pt idx="43" formatCode="#,##0.000;[Red]\-#,##0.000">
                  <c:v>1.2325620685234269</c:v>
                </c:pt>
                <c:pt idx="44" formatCode="#,##0.000;[Red]\-#,##0.000">
                  <c:v>1.2564999568434176</c:v>
                </c:pt>
                <c:pt idx="45" formatCode="#,##0.000;[Red]\-#,##0.000">
                  <c:v>1.2065287296247027</c:v>
                </c:pt>
                <c:pt idx="46" formatCode="#,##0.000;[Red]\-#,##0.000">
                  <c:v>1.3365844122565691</c:v>
                </c:pt>
                <c:pt idx="47" formatCode="#,##0.000;[Red]\-#,##0.000">
                  <c:v>1.1630145470712259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B-480E-A48A-6C1F488BF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8484576"/>
        <c:axId val="2101114592"/>
      </c:lineChart>
      <c:catAx>
        <c:axId val="21647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96614797979797995"/>
              <c:y val="0.9559471365638769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16480768"/>
        <c:crosses val="autoZero"/>
        <c:auto val="1"/>
        <c:lblAlgn val="ctr"/>
        <c:lblOffset val="100"/>
        <c:noMultiLvlLbl val="0"/>
      </c:catAx>
      <c:valAx>
        <c:axId val="2164807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4.7396320548799498E-2"/>
              <c:y val="6.8889715726620698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16478848"/>
        <c:crosses val="autoZero"/>
        <c:crossBetween val="between"/>
        <c:dispUnits>
          <c:builtInUnit val="thousands"/>
        </c:dispUnits>
      </c:valAx>
      <c:valAx>
        <c:axId val="2101114592"/>
        <c:scaling>
          <c:orientation val="minMax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818484576"/>
        <c:crosses val="max"/>
        <c:crossBetween val="between"/>
      </c:valAx>
      <c:catAx>
        <c:axId val="1818484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111459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421233175355356"/>
          <c:y val="0.10548205703361969"/>
          <c:w val="0.13285022891226095"/>
          <c:h val="0.2858761615866241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図書館資料費の推移</a:t>
            </a:r>
            <a:r>
              <a:rPr lang="ja-JP" altLang="en-US" baseline="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： 私立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</a:t>
            </a:r>
            <a:r>
              <a:rPr lang="en-US" altLang="ja-JP" sz="1800" b="1" i="0" u="none" strike="noStrike" baseline="0">
                <a:effectLst/>
              </a:rPr>
              <a:t>B(5</a:t>
            </a:r>
            <a:r>
              <a:rPr lang="ja-JP" altLang="ja-JP" sz="1800" b="1" i="0" u="none" strike="noStrike" baseline="0">
                <a:effectLst/>
              </a:rPr>
              <a:t>～</a:t>
            </a:r>
            <a:r>
              <a:rPr lang="en-US" altLang="ja-JP" sz="1800" b="1" i="0" u="none" strike="noStrike" baseline="0">
                <a:effectLst/>
              </a:rPr>
              <a:t>7</a:t>
            </a:r>
            <a:r>
              <a:rPr lang="ja-JP" altLang="ja-JP" sz="1800" b="1" i="0" u="none" strike="noStrike" baseline="0">
                <a:effectLst/>
              </a:rPr>
              <a:t>学部</a:t>
            </a:r>
            <a:r>
              <a:rPr lang="en-US" altLang="ja-JP" sz="1800" b="1" i="0" u="none" strike="noStrike" baseline="0">
                <a:effectLst/>
              </a:rPr>
              <a:t>)</a:t>
            </a:r>
            <a:r>
              <a:rPr lang="ja-JP" altLang="ja-JP" sz="1800" b="1" i="0" u="none" strike="noStrike" baseline="0">
                <a:effectLst/>
              </a:rPr>
              <a:t> 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1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大学あたり平均額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9928080808080801E-2"/>
          <c:y val="0.100394278908969"/>
          <c:w val="0.93022474747474804"/>
          <c:h val="0.84462266005295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データシート!$C$260</c:f>
              <c:strCache>
                <c:ptCount val="1"/>
                <c:pt idx="0">
                  <c:v>図書</c:v>
                </c:pt>
              </c:strCache>
            </c:strRef>
          </c:tx>
          <c:invertIfNegative val="0"/>
          <c:cat>
            <c:strRef>
              <c:f>データシート!$D$259:$AY$259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データシート!$D$260:$AY$260</c:f>
              <c:numCache>
                <c:formatCode>#,##0_);[Red]\(#,##0\)</c:formatCode>
                <c:ptCount val="48"/>
                <c:pt idx="0">
                  <c:v>82289.318181818177</c:v>
                </c:pt>
                <c:pt idx="1">
                  <c:v>97272.478260869568</c:v>
                </c:pt>
                <c:pt idx="2">
                  <c:v>111988.13043478261</c:v>
                </c:pt>
                <c:pt idx="3">
                  <c:v>128806.5</c:v>
                </c:pt>
                <c:pt idx="4">
                  <c:v>141253.25</c:v>
                </c:pt>
                <c:pt idx="5">
                  <c:v>164022.28</c:v>
                </c:pt>
                <c:pt idx="6">
                  <c:v>180470.8</c:v>
                </c:pt>
                <c:pt idx="7">
                  <c:v>195197.72</c:v>
                </c:pt>
                <c:pt idx="8">
                  <c:v>194345.84</c:v>
                </c:pt>
                <c:pt idx="9">
                  <c:v>209600.92</c:v>
                </c:pt>
                <c:pt idx="10">
                  <c:v>208377.32</c:v>
                </c:pt>
                <c:pt idx="11">
                  <c:v>184676.42857142858</c:v>
                </c:pt>
                <c:pt idx="12">
                  <c:v>182904.24137931035</c:v>
                </c:pt>
                <c:pt idx="13">
                  <c:v>188166.90909090909</c:v>
                </c:pt>
                <c:pt idx="14">
                  <c:v>186727.44444444444</c:v>
                </c:pt>
                <c:pt idx="15">
                  <c:v>194541</c:v>
                </c:pt>
                <c:pt idx="16">
                  <c:v>197228.75</c:v>
                </c:pt>
                <c:pt idx="17">
                  <c:v>206927.37837837837</c:v>
                </c:pt>
                <c:pt idx="18">
                  <c:v>203168.24324324325</c:v>
                </c:pt>
                <c:pt idx="19">
                  <c:v>189559.76470588235</c:v>
                </c:pt>
                <c:pt idx="20">
                  <c:v>182578.33333333334</c:v>
                </c:pt>
                <c:pt idx="21">
                  <c:v>174483.91428571427</c:v>
                </c:pt>
                <c:pt idx="22">
                  <c:v>187833.75675675675</c:v>
                </c:pt>
                <c:pt idx="23">
                  <c:v>170058.69230769231</c:v>
                </c:pt>
                <c:pt idx="24">
                  <c:v>161692.59523809524</c:v>
                </c:pt>
                <c:pt idx="25">
                  <c:v>161075.17073170733</c:v>
                </c:pt>
                <c:pt idx="26">
                  <c:v>152996.52272727274</c:v>
                </c:pt>
                <c:pt idx="27">
                  <c:v>135924.93617021278</c:v>
                </c:pt>
                <c:pt idx="28">
                  <c:v>147916.875</c:v>
                </c:pt>
                <c:pt idx="29">
                  <c:v>109388.49019607843</c:v>
                </c:pt>
                <c:pt idx="30">
                  <c:v>98691.172413793101</c:v>
                </c:pt>
                <c:pt idx="31">
                  <c:v>87017.28333333334</c:v>
                </c:pt>
                <c:pt idx="32">
                  <c:v>77996.147540983613</c:v>
                </c:pt>
                <c:pt idx="33">
                  <c:v>72736.484375</c:v>
                </c:pt>
                <c:pt idx="34">
                  <c:v>71984.723076923081</c:v>
                </c:pt>
                <c:pt idx="35">
                  <c:v>61423.738461538458</c:v>
                </c:pt>
                <c:pt idx="36">
                  <c:v>56707.171428571426</c:v>
                </c:pt>
                <c:pt idx="37">
                  <c:v>55221.911764705881</c:v>
                </c:pt>
                <c:pt idx="38">
                  <c:v>52952.390625</c:v>
                </c:pt>
                <c:pt idx="39">
                  <c:v>51853.151515151512</c:v>
                </c:pt>
                <c:pt idx="40">
                  <c:v>48023.380281690144</c:v>
                </c:pt>
                <c:pt idx="41">
                  <c:v>43995</c:v>
                </c:pt>
                <c:pt idx="42">
                  <c:v>40099</c:v>
                </c:pt>
                <c:pt idx="43">
                  <c:v>34754</c:v>
                </c:pt>
                <c:pt idx="44">
                  <c:v>31549</c:v>
                </c:pt>
                <c:pt idx="45">
                  <c:v>26344</c:v>
                </c:pt>
                <c:pt idx="46">
                  <c:v>26178</c:v>
                </c:pt>
                <c:pt idx="47">
                  <c:v>25353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E-45CB-88D0-F7062BC073F6}"/>
            </c:ext>
          </c:extLst>
        </c:ser>
        <c:ser>
          <c:idx val="3"/>
          <c:order val="1"/>
          <c:tx>
            <c:strRef>
              <c:f>データシート!$C$261</c:f>
              <c:strCache>
                <c:ptCount val="1"/>
                <c:pt idx="0">
                  <c:v>雑誌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strRef>
              <c:f>データシート!$D$259:$AY$259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データシート!$D$261:$AY$261</c:f>
              <c:numCache>
                <c:formatCode>#,##0_);[Red]\(#,##0\)</c:formatCode>
                <c:ptCount val="48"/>
                <c:pt idx="0">
                  <c:v>29268.31818181818</c:v>
                </c:pt>
                <c:pt idx="1">
                  <c:v>33956.434782608696</c:v>
                </c:pt>
                <c:pt idx="2">
                  <c:v>37278.304347826088</c:v>
                </c:pt>
                <c:pt idx="3">
                  <c:v>47240.916666666664</c:v>
                </c:pt>
                <c:pt idx="4">
                  <c:v>53027.875</c:v>
                </c:pt>
                <c:pt idx="5">
                  <c:v>60234.2</c:v>
                </c:pt>
                <c:pt idx="6">
                  <c:v>71687.72</c:v>
                </c:pt>
                <c:pt idx="7">
                  <c:v>83488</c:v>
                </c:pt>
                <c:pt idx="8">
                  <c:v>92497.72</c:v>
                </c:pt>
                <c:pt idx="9">
                  <c:v>88821</c:v>
                </c:pt>
                <c:pt idx="10">
                  <c:v>97385.12</c:v>
                </c:pt>
                <c:pt idx="11">
                  <c:v>87951.392857142855</c:v>
                </c:pt>
                <c:pt idx="12">
                  <c:v>89455.862068965522</c:v>
                </c:pt>
                <c:pt idx="13">
                  <c:v>91243.030303030304</c:v>
                </c:pt>
                <c:pt idx="14">
                  <c:v>87481.25</c:v>
                </c:pt>
                <c:pt idx="15">
                  <c:v>92844.638888888891</c:v>
                </c:pt>
                <c:pt idx="16">
                  <c:v>100102.25</c:v>
                </c:pt>
                <c:pt idx="17">
                  <c:v>100092.48648648648</c:v>
                </c:pt>
                <c:pt idx="18">
                  <c:v>99616.648648648654</c:v>
                </c:pt>
                <c:pt idx="19">
                  <c:v>97000.470588235301</c:v>
                </c:pt>
                <c:pt idx="20">
                  <c:v>105319</c:v>
                </c:pt>
                <c:pt idx="21">
                  <c:v>102976.91428571429</c:v>
                </c:pt>
                <c:pt idx="22">
                  <c:v>118863.27027027027</c:v>
                </c:pt>
                <c:pt idx="23">
                  <c:v>121003.17948717948</c:v>
                </c:pt>
                <c:pt idx="24">
                  <c:v>119875.45238095238</c:v>
                </c:pt>
                <c:pt idx="25">
                  <c:v>112078.90243902439</c:v>
                </c:pt>
                <c:pt idx="26">
                  <c:v>114893.79545454546</c:v>
                </c:pt>
                <c:pt idx="27">
                  <c:v>110177.21276595745</c:v>
                </c:pt>
                <c:pt idx="28">
                  <c:v>112983.29166666667</c:v>
                </c:pt>
                <c:pt idx="29">
                  <c:v>250478.33333333334</c:v>
                </c:pt>
                <c:pt idx="30">
                  <c:v>75628.655172413797</c:v>
                </c:pt>
                <c:pt idx="31">
                  <c:v>66535.583333333328</c:v>
                </c:pt>
                <c:pt idx="32">
                  <c:v>59337.573770491806</c:v>
                </c:pt>
                <c:pt idx="33">
                  <c:v>53884.75</c:v>
                </c:pt>
                <c:pt idx="34">
                  <c:v>47027.630769230767</c:v>
                </c:pt>
                <c:pt idx="35">
                  <c:v>41931.199999999997</c:v>
                </c:pt>
                <c:pt idx="36">
                  <c:v>38525.942857142858</c:v>
                </c:pt>
                <c:pt idx="37">
                  <c:v>35236.470588235294</c:v>
                </c:pt>
                <c:pt idx="38">
                  <c:v>36438.046875</c:v>
                </c:pt>
                <c:pt idx="39">
                  <c:v>34978.227272727272</c:v>
                </c:pt>
                <c:pt idx="40">
                  <c:v>35494.859154929574</c:v>
                </c:pt>
                <c:pt idx="41">
                  <c:v>30901</c:v>
                </c:pt>
                <c:pt idx="42">
                  <c:v>27510</c:v>
                </c:pt>
                <c:pt idx="43">
                  <c:v>24546</c:v>
                </c:pt>
                <c:pt idx="44">
                  <c:v>22443</c:v>
                </c:pt>
                <c:pt idx="45">
                  <c:v>20229</c:v>
                </c:pt>
                <c:pt idx="46">
                  <c:v>19890</c:v>
                </c:pt>
                <c:pt idx="47">
                  <c:v>18225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6E-45CB-88D0-F7062BC073F6}"/>
            </c:ext>
          </c:extLst>
        </c:ser>
        <c:ser>
          <c:idx val="1"/>
          <c:order val="2"/>
          <c:tx>
            <c:strRef>
              <c:f>データシート!$C$262</c:f>
              <c:strCache>
                <c:ptCount val="1"/>
                <c:pt idx="0">
                  <c:v>電子ジャーナル</c:v>
                </c:pt>
              </c:strCache>
            </c:strRef>
          </c:tx>
          <c:invertIfNegative val="0"/>
          <c:cat>
            <c:strRef>
              <c:f>データシート!$D$259:$AY$259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データシート!$D$262:$AY$262</c:f>
              <c:numCache>
                <c:formatCode>#,##0_);[Red]\(#,##0\)</c:formatCode>
                <c:ptCount val="48"/>
                <c:pt idx="29">
                  <c:v>14719.431372549019</c:v>
                </c:pt>
                <c:pt idx="30">
                  <c:v>17729.568965517243</c:v>
                </c:pt>
                <c:pt idx="31">
                  <c:v>23931.35</c:v>
                </c:pt>
                <c:pt idx="32">
                  <c:v>29265.934426229509</c:v>
                </c:pt>
                <c:pt idx="33">
                  <c:v>30756.1875</c:v>
                </c:pt>
                <c:pt idx="34">
                  <c:v>34151.384615384617</c:v>
                </c:pt>
                <c:pt idx="35">
                  <c:v>35106.323076923079</c:v>
                </c:pt>
                <c:pt idx="36">
                  <c:v>34499.214285714283</c:v>
                </c:pt>
                <c:pt idx="37">
                  <c:v>36135.176470588238</c:v>
                </c:pt>
                <c:pt idx="38">
                  <c:v>40658.0625</c:v>
                </c:pt>
                <c:pt idx="39">
                  <c:v>46825.681818181816</c:v>
                </c:pt>
                <c:pt idx="40">
                  <c:v>49277.028169014084</c:v>
                </c:pt>
                <c:pt idx="41">
                  <c:v>53453</c:v>
                </c:pt>
                <c:pt idx="42">
                  <c:v>49523</c:v>
                </c:pt>
                <c:pt idx="43">
                  <c:v>47589</c:v>
                </c:pt>
                <c:pt idx="44">
                  <c:v>45215</c:v>
                </c:pt>
                <c:pt idx="45">
                  <c:v>44681</c:v>
                </c:pt>
                <c:pt idx="46">
                  <c:v>46538</c:v>
                </c:pt>
                <c:pt idx="47">
                  <c:v>42293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6E-45CB-88D0-F7062BC073F6}"/>
            </c:ext>
          </c:extLst>
        </c:ser>
        <c:ser>
          <c:idx val="2"/>
          <c:order val="3"/>
          <c:tx>
            <c:strRef>
              <c:f>データシート!$C$263</c:f>
              <c:strCache>
                <c:ptCount val="1"/>
                <c:pt idx="0">
                  <c:v>電子書籍</c:v>
                </c:pt>
              </c:strCache>
            </c:strRef>
          </c:tx>
          <c:invertIfNegative val="0"/>
          <c:cat>
            <c:strRef>
              <c:f>データシート!$D$259:$AY$259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データシート!$D$263:$AY$263</c:f>
              <c:numCache>
                <c:formatCode>#,##0_);[Red]\(#,##0\)</c:formatCode>
                <c:ptCount val="48"/>
                <c:pt idx="35">
                  <c:v>892.4</c:v>
                </c:pt>
                <c:pt idx="36">
                  <c:v>1520.6142857142856</c:v>
                </c:pt>
                <c:pt idx="37">
                  <c:v>2664.8529411764707</c:v>
                </c:pt>
                <c:pt idx="38">
                  <c:v>1953.9375</c:v>
                </c:pt>
                <c:pt idx="39">
                  <c:v>2049.939393939394</c:v>
                </c:pt>
                <c:pt idx="40">
                  <c:v>2234.0985915492956</c:v>
                </c:pt>
                <c:pt idx="41">
                  <c:v>2700</c:v>
                </c:pt>
                <c:pt idx="42">
                  <c:v>3711</c:v>
                </c:pt>
                <c:pt idx="43">
                  <c:v>3150</c:v>
                </c:pt>
                <c:pt idx="44">
                  <c:v>2960</c:v>
                </c:pt>
                <c:pt idx="45">
                  <c:v>4494</c:v>
                </c:pt>
                <c:pt idx="46">
                  <c:v>4837</c:v>
                </c:pt>
                <c:pt idx="47">
                  <c:v>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6E-45CB-88D0-F7062BC073F6}"/>
            </c:ext>
          </c:extLst>
        </c:ser>
        <c:ser>
          <c:idx val="4"/>
          <c:order val="4"/>
          <c:tx>
            <c:strRef>
              <c:f>データシート!$C$264</c:f>
              <c:strCache>
                <c:ptCount val="1"/>
                <c:pt idx="0">
                  <c:v>データベース</c:v>
                </c:pt>
              </c:strCache>
            </c:strRef>
          </c:tx>
          <c:invertIfNegative val="0"/>
          <c:cat>
            <c:strRef>
              <c:f>データシート!$D$259:$AY$259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データシート!$D$264:$AY$264</c:f>
              <c:numCache>
                <c:formatCode>#,##0_);[Red]\(#,##0\)</c:formatCode>
                <c:ptCount val="48"/>
                <c:pt idx="35">
                  <c:v>13347.692307692309</c:v>
                </c:pt>
                <c:pt idx="36">
                  <c:v>16197.628571428571</c:v>
                </c:pt>
                <c:pt idx="37">
                  <c:v>15062.75</c:v>
                </c:pt>
                <c:pt idx="38">
                  <c:v>15529.953125</c:v>
                </c:pt>
                <c:pt idx="39">
                  <c:v>17258.242424242424</c:v>
                </c:pt>
                <c:pt idx="40">
                  <c:v>18065.943661971833</c:v>
                </c:pt>
                <c:pt idx="41">
                  <c:v>18188</c:v>
                </c:pt>
                <c:pt idx="42">
                  <c:v>17414</c:v>
                </c:pt>
                <c:pt idx="43">
                  <c:v>16686</c:v>
                </c:pt>
                <c:pt idx="44">
                  <c:v>18933</c:v>
                </c:pt>
                <c:pt idx="45">
                  <c:v>16623</c:v>
                </c:pt>
                <c:pt idx="46">
                  <c:v>16698</c:v>
                </c:pt>
                <c:pt idx="47">
                  <c:v>17266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6E-45CB-88D0-F7062BC073F6}"/>
            </c:ext>
          </c:extLst>
        </c:ser>
        <c:ser>
          <c:idx val="5"/>
          <c:order val="5"/>
          <c:tx>
            <c:strRef>
              <c:f>データシート!$C$265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データシート!$D$259:$AY$259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データシート!$D$265:$AY$265</c:f>
              <c:numCache>
                <c:formatCode>#,##0_);[Red]\(#,##0\)</c:formatCode>
                <c:ptCount val="48"/>
                <c:pt idx="0">
                  <c:v>2387.409090909091</c:v>
                </c:pt>
                <c:pt idx="1">
                  <c:v>3309.4347826086955</c:v>
                </c:pt>
                <c:pt idx="2">
                  <c:v>6385.130434782609</c:v>
                </c:pt>
                <c:pt idx="3">
                  <c:v>4901.541666666667</c:v>
                </c:pt>
                <c:pt idx="4">
                  <c:v>9111.0833333333339</c:v>
                </c:pt>
                <c:pt idx="5">
                  <c:v>11769.96</c:v>
                </c:pt>
                <c:pt idx="6">
                  <c:v>10347.200000000001</c:v>
                </c:pt>
                <c:pt idx="7">
                  <c:v>14025.48</c:v>
                </c:pt>
                <c:pt idx="8">
                  <c:v>18718.12</c:v>
                </c:pt>
                <c:pt idx="9">
                  <c:v>18324.64</c:v>
                </c:pt>
                <c:pt idx="10">
                  <c:v>20845.240000000002</c:v>
                </c:pt>
                <c:pt idx="11">
                  <c:v>17720.714285714286</c:v>
                </c:pt>
                <c:pt idx="12">
                  <c:v>22797.413793103449</c:v>
                </c:pt>
                <c:pt idx="13">
                  <c:v>17620.575757575756</c:v>
                </c:pt>
                <c:pt idx="14">
                  <c:v>18879.527777777777</c:v>
                </c:pt>
                <c:pt idx="15">
                  <c:v>21015.722222222223</c:v>
                </c:pt>
                <c:pt idx="16">
                  <c:v>22951.638888888891</c:v>
                </c:pt>
                <c:pt idx="17">
                  <c:v>26036.162162162163</c:v>
                </c:pt>
                <c:pt idx="18">
                  <c:v>31048.702702702703</c:v>
                </c:pt>
                <c:pt idx="19">
                  <c:v>28362.470588235294</c:v>
                </c:pt>
                <c:pt idx="20">
                  <c:v>33303.805555555555</c:v>
                </c:pt>
                <c:pt idx="21">
                  <c:v>31814.914285714287</c:v>
                </c:pt>
                <c:pt idx="22">
                  <c:v>35386.16216216216</c:v>
                </c:pt>
                <c:pt idx="23">
                  <c:v>37180.615384615383</c:v>
                </c:pt>
                <c:pt idx="24">
                  <c:v>37286</c:v>
                </c:pt>
                <c:pt idx="25">
                  <c:v>36733.439024390245</c:v>
                </c:pt>
                <c:pt idx="26">
                  <c:v>29694.272727272728</c:v>
                </c:pt>
                <c:pt idx="27">
                  <c:v>30778.723404255321</c:v>
                </c:pt>
                <c:pt idx="28">
                  <c:v>28503.166666666668</c:v>
                </c:pt>
                <c:pt idx="29">
                  <c:v>18725.745098039217</c:v>
                </c:pt>
                <c:pt idx="30">
                  <c:v>19169.655172413793</c:v>
                </c:pt>
                <c:pt idx="31">
                  <c:v>17653.55</c:v>
                </c:pt>
                <c:pt idx="32">
                  <c:v>18407.786885245903</c:v>
                </c:pt>
                <c:pt idx="33">
                  <c:v>17550.96875</c:v>
                </c:pt>
                <c:pt idx="34">
                  <c:v>18158.876923076925</c:v>
                </c:pt>
                <c:pt idx="35">
                  <c:v>8749.2000000000007</c:v>
                </c:pt>
                <c:pt idx="36">
                  <c:v>7728.9571428571426</c:v>
                </c:pt>
                <c:pt idx="37">
                  <c:v>7286.3823529411766</c:v>
                </c:pt>
                <c:pt idx="38">
                  <c:v>7323.25</c:v>
                </c:pt>
                <c:pt idx="39">
                  <c:v>6281.80303030303</c:v>
                </c:pt>
                <c:pt idx="40">
                  <c:v>6630.2676056338032</c:v>
                </c:pt>
                <c:pt idx="41">
                  <c:v>6526</c:v>
                </c:pt>
                <c:pt idx="42">
                  <c:v>5721</c:v>
                </c:pt>
                <c:pt idx="43">
                  <c:v>5007</c:v>
                </c:pt>
                <c:pt idx="44">
                  <c:v>5400</c:v>
                </c:pt>
                <c:pt idx="45">
                  <c:v>4849</c:v>
                </c:pt>
                <c:pt idx="46">
                  <c:v>4511</c:v>
                </c:pt>
                <c:pt idx="47">
                  <c:v>4405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6E-45CB-88D0-F7062BC07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1898240"/>
        <c:axId val="221900160"/>
      </c:barChart>
      <c:lineChart>
        <c:grouping val="standard"/>
        <c:varyColors val="0"/>
        <c:ser>
          <c:idx val="6"/>
          <c:order val="6"/>
          <c:tx>
            <c:strRef>
              <c:f>データシート!$C$267</c:f>
              <c:strCache>
                <c:ptCount val="1"/>
                <c:pt idx="0">
                  <c:v>対大学総経費比率</c:v>
                </c:pt>
              </c:strCache>
            </c:strRef>
          </c:tx>
          <c:cat>
            <c:strRef>
              <c:f>データシート!$D$259:$AY$259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データシート!$D$267:$AY$267</c:f>
              <c:numCache>
                <c:formatCode>#,##0.00_);[Red]\(#,##0.00\)</c:formatCode>
                <c:ptCount val="48"/>
                <c:pt idx="0">
                  <c:v>2.1251375477920291</c:v>
                </c:pt>
                <c:pt idx="1">
                  <c:v>1.4936006101092791</c:v>
                </c:pt>
                <c:pt idx="2">
                  <c:v>1.7732974049325598</c:v>
                </c:pt>
                <c:pt idx="3">
                  <c:v>1.8374027941139139</c:v>
                </c:pt>
                <c:pt idx="4">
                  <c:v>1.9478502648145941</c:v>
                </c:pt>
                <c:pt idx="5">
                  <c:v>2.3074268449605189</c:v>
                </c:pt>
                <c:pt idx="6">
                  <c:v>2.104778440197745</c:v>
                </c:pt>
                <c:pt idx="7">
                  <c:v>2.2097609191470977</c:v>
                </c:pt>
                <c:pt idx="8">
                  <c:v>2.4110530903428113</c:v>
                </c:pt>
                <c:pt idx="9">
                  <c:v>2.2101474410080297</c:v>
                </c:pt>
                <c:pt idx="10">
                  <c:v>2.0415568540974229</c:v>
                </c:pt>
                <c:pt idx="11">
                  <c:v>2.0443273448533161</c:v>
                </c:pt>
                <c:pt idx="12">
                  <c:v>2.1638508927943221</c:v>
                </c:pt>
                <c:pt idx="13">
                  <c:v>2.2288338434729855</c:v>
                </c:pt>
                <c:pt idx="14">
                  <c:v>2.3405828566796227</c:v>
                </c:pt>
                <c:pt idx="15">
                  <c:v>2.3642465640019528</c:v>
                </c:pt>
                <c:pt idx="16">
                  <c:v>2.1364359109962896</c:v>
                </c:pt>
                <c:pt idx="17">
                  <c:v>2.2309804144398044</c:v>
                </c:pt>
                <c:pt idx="18">
                  <c:v>2.0950194832758391</c:v>
                </c:pt>
                <c:pt idx="19">
                  <c:v>2.0646773070657041</c:v>
                </c:pt>
                <c:pt idx="20">
                  <c:v>1.9766061714765311</c:v>
                </c:pt>
                <c:pt idx="21">
                  <c:v>2.0094104700807698</c:v>
                </c:pt>
                <c:pt idx="22">
                  <c:v>1.9929013188565541</c:v>
                </c:pt>
                <c:pt idx="23">
                  <c:v>2.2295855503087321</c:v>
                </c:pt>
                <c:pt idx="24">
                  <c:v>2.2262307879691865</c:v>
                </c:pt>
                <c:pt idx="25">
                  <c:v>2.0657260159575768</c:v>
                </c:pt>
                <c:pt idx="26">
                  <c:v>2.0642030142846823</c:v>
                </c:pt>
                <c:pt idx="27">
                  <c:v>1.9023924152102361</c:v>
                </c:pt>
                <c:pt idx="28">
                  <c:v>2.0797512538833867</c:v>
                </c:pt>
                <c:pt idx="29">
                  <c:v>2.838452218313205</c:v>
                </c:pt>
                <c:pt idx="30">
                  <c:v>1.7600985543297702</c:v>
                </c:pt>
                <c:pt idx="31">
                  <c:v>1.6160267253057379</c:v>
                </c:pt>
                <c:pt idx="32">
                  <c:v>1.629777281473797</c:v>
                </c:pt>
                <c:pt idx="33">
                  <c:v>1.5613861874423434</c:v>
                </c:pt>
                <c:pt idx="34">
                  <c:v>1.4846604366453036</c:v>
                </c:pt>
                <c:pt idx="35">
                  <c:v>1.4611020783112654</c:v>
                </c:pt>
                <c:pt idx="36">
                  <c:v>1.42782029316597</c:v>
                </c:pt>
                <c:pt idx="37">
                  <c:v>1.375862202267234</c:v>
                </c:pt>
                <c:pt idx="38">
                  <c:v>1.2757463579037851</c:v>
                </c:pt>
                <c:pt idx="39">
                  <c:v>1.1694930598331561</c:v>
                </c:pt>
                <c:pt idx="40">
                  <c:v>1.234871569242272</c:v>
                </c:pt>
                <c:pt idx="41">
                  <c:v>1.2578699784860183</c:v>
                </c:pt>
                <c:pt idx="42" formatCode="#,##0.000;[Red]\-#,##0.000">
                  <c:v>1.2111184799093633</c:v>
                </c:pt>
                <c:pt idx="43" formatCode="#,##0.000;[Red]\-#,##0.000">
                  <c:v>1.1867638451939742</c:v>
                </c:pt>
                <c:pt idx="44" formatCode="#,##0.000;[Red]\-#,##0.000">
                  <c:v>1.1729979492651348</c:v>
                </c:pt>
                <c:pt idx="45" formatCode="#,##0.000;[Red]\-#,##0.000">
                  <c:v>0.98945712588851731</c:v>
                </c:pt>
                <c:pt idx="46" formatCode="#,##0.000;[Red]\-#,##0.000">
                  <c:v>1.0288443627718065</c:v>
                </c:pt>
                <c:pt idx="47" formatCode="#,##0.000;[Red]\-#,##0.000">
                  <c:v>1.3420764961744833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36E-45CB-88D0-F7062BC07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522064"/>
        <c:axId val="739518784"/>
      </c:lineChart>
      <c:catAx>
        <c:axId val="22189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96614797979797995"/>
              <c:y val="0.9559471365638769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21900160"/>
        <c:crosses val="autoZero"/>
        <c:auto val="1"/>
        <c:lblAlgn val="ctr"/>
        <c:lblOffset val="100"/>
        <c:noMultiLvlLbl val="0"/>
      </c:catAx>
      <c:valAx>
        <c:axId val="221900160"/>
        <c:scaling>
          <c:orientation val="minMax"/>
          <c:max val="4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2.8153939393939401E-2"/>
              <c:y val="6.3016021675704595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21898240"/>
        <c:crosses val="autoZero"/>
        <c:crossBetween val="between"/>
        <c:dispUnits>
          <c:builtInUnit val="thousands"/>
        </c:dispUnits>
      </c:valAx>
      <c:valAx>
        <c:axId val="739518784"/>
        <c:scaling>
          <c:orientation val="minMax"/>
        </c:scaling>
        <c:delete val="0"/>
        <c:axPos val="r"/>
        <c:numFmt formatCode="#,##0.0;[Red]\-#,##0.0" sourceLinked="0"/>
        <c:majorTickMark val="out"/>
        <c:minorTickMark val="none"/>
        <c:tickLblPos val="nextTo"/>
        <c:crossAx val="739522064"/>
        <c:crosses val="max"/>
        <c:crossBetween val="between"/>
      </c:valAx>
      <c:catAx>
        <c:axId val="739522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9518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1386097262942492"/>
          <c:y val="0.10939786711683067"/>
          <c:w val="0.13406458189364254"/>
          <c:h val="0.28592418454305024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図書館資料費の推移</a:t>
            </a:r>
            <a:r>
              <a:rPr lang="ja-JP" altLang="en-US" baseline="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： 私立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</a:t>
            </a:r>
            <a:r>
              <a:rPr lang="en-US" altLang="ja-JP" sz="1800" b="1" i="0" u="none" strike="noStrike" baseline="0">
                <a:effectLst/>
              </a:rPr>
              <a:t>C(2</a:t>
            </a:r>
            <a:r>
              <a:rPr lang="ja-JP" altLang="ja-JP" sz="1800" b="1" i="0" u="none" strike="noStrike" baseline="0">
                <a:effectLst/>
              </a:rPr>
              <a:t>～</a:t>
            </a:r>
            <a:r>
              <a:rPr lang="en-US" altLang="ja-JP" sz="1800" b="1" i="0" u="none" strike="noStrike" baseline="0">
                <a:effectLst/>
              </a:rPr>
              <a:t>4</a:t>
            </a:r>
            <a:r>
              <a:rPr lang="ja-JP" altLang="ja-JP" sz="1800" b="1" i="0" u="none" strike="noStrike" baseline="0">
                <a:effectLst/>
              </a:rPr>
              <a:t>学部</a:t>
            </a:r>
            <a:r>
              <a:rPr lang="en-US" altLang="ja-JP" sz="1800" b="1" i="0" u="none" strike="noStrike" baseline="0">
                <a:effectLst/>
              </a:rPr>
              <a:t>)</a:t>
            </a:r>
            <a:r>
              <a:rPr lang="ja-JP" altLang="ja-JP" sz="1800" b="1" i="0" u="none" strike="noStrike" baseline="0">
                <a:effectLst/>
              </a:rPr>
              <a:t> 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1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大学あたり平均額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9928080808080801E-2"/>
          <c:y val="0.100394278908969"/>
          <c:w val="0.93022474747474804"/>
          <c:h val="0.84462266005295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データシート!$C$279</c:f>
              <c:strCache>
                <c:ptCount val="1"/>
                <c:pt idx="0">
                  <c:v>図書</c:v>
                </c:pt>
              </c:strCache>
            </c:strRef>
          </c:tx>
          <c:invertIfNegative val="0"/>
          <c:cat>
            <c:strRef>
              <c:f>データシート!$D$278:$AY$278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データシート!$D$279:$AY$279</c:f>
              <c:numCache>
                <c:formatCode>#,##0_);[Red]\(#,##0\)</c:formatCode>
                <c:ptCount val="48"/>
                <c:pt idx="0">
                  <c:v>31293.346153846152</c:v>
                </c:pt>
                <c:pt idx="1">
                  <c:v>37172.088607594938</c:v>
                </c:pt>
                <c:pt idx="2">
                  <c:v>42727.182926829271</c:v>
                </c:pt>
                <c:pt idx="3">
                  <c:v>47357.743902439026</c:v>
                </c:pt>
                <c:pt idx="4">
                  <c:v>51549.619047619046</c:v>
                </c:pt>
                <c:pt idx="5">
                  <c:v>55379.452380952382</c:v>
                </c:pt>
                <c:pt idx="6">
                  <c:v>61065.159090909088</c:v>
                </c:pt>
                <c:pt idx="7">
                  <c:v>61892.8202247191</c:v>
                </c:pt>
                <c:pt idx="8">
                  <c:v>64969.258426966291</c:v>
                </c:pt>
                <c:pt idx="9">
                  <c:v>64513.642105263156</c:v>
                </c:pt>
                <c:pt idx="10">
                  <c:v>79691.884210526317</c:v>
                </c:pt>
                <c:pt idx="11">
                  <c:v>67918.382352941175</c:v>
                </c:pt>
                <c:pt idx="12">
                  <c:v>67408.120370370365</c:v>
                </c:pt>
                <c:pt idx="13">
                  <c:v>69557.34821428571</c:v>
                </c:pt>
                <c:pt idx="14">
                  <c:v>67558.558558558565</c:v>
                </c:pt>
                <c:pt idx="15">
                  <c:v>68577.358974358969</c:v>
                </c:pt>
                <c:pt idx="16">
                  <c:v>63429.6796875</c:v>
                </c:pt>
                <c:pt idx="17">
                  <c:v>66257.492307692301</c:v>
                </c:pt>
                <c:pt idx="18">
                  <c:v>62513.175182481755</c:v>
                </c:pt>
                <c:pt idx="19">
                  <c:v>61400.737931034484</c:v>
                </c:pt>
                <c:pt idx="20">
                  <c:v>61407.07894736842</c:v>
                </c:pt>
                <c:pt idx="21">
                  <c:v>54611.775641025641</c:v>
                </c:pt>
                <c:pt idx="22">
                  <c:v>54811.858895705518</c:v>
                </c:pt>
                <c:pt idx="23">
                  <c:v>51681.191860465115</c:v>
                </c:pt>
                <c:pt idx="24">
                  <c:v>51782.133689839575</c:v>
                </c:pt>
                <c:pt idx="25">
                  <c:v>47008.567164179105</c:v>
                </c:pt>
                <c:pt idx="26">
                  <c:v>39972.566210045661</c:v>
                </c:pt>
                <c:pt idx="27">
                  <c:v>36744.420353982299</c:v>
                </c:pt>
                <c:pt idx="28">
                  <c:v>35368.85042735043</c:v>
                </c:pt>
                <c:pt idx="29">
                  <c:v>32803.169491525427</c:v>
                </c:pt>
                <c:pt idx="30">
                  <c:v>29518.253061224488</c:v>
                </c:pt>
                <c:pt idx="31">
                  <c:v>26600.229571984437</c:v>
                </c:pt>
                <c:pt idx="32">
                  <c:v>26048.667924528301</c:v>
                </c:pt>
                <c:pt idx="33">
                  <c:v>23449.528517110266</c:v>
                </c:pt>
                <c:pt idx="34">
                  <c:v>21444.778195488721</c:v>
                </c:pt>
                <c:pt idx="35">
                  <c:v>20442.822878228781</c:v>
                </c:pt>
                <c:pt idx="36">
                  <c:v>18154.866171003716</c:v>
                </c:pt>
                <c:pt idx="37">
                  <c:v>17657.279693486591</c:v>
                </c:pt>
                <c:pt idx="38">
                  <c:v>16823.398523985241</c:v>
                </c:pt>
                <c:pt idx="39">
                  <c:v>15167.414814814814</c:v>
                </c:pt>
                <c:pt idx="40">
                  <c:v>17012.007462686568</c:v>
                </c:pt>
                <c:pt idx="41">
                  <c:v>12280</c:v>
                </c:pt>
                <c:pt idx="42">
                  <c:v>11703</c:v>
                </c:pt>
                <c:pt idx="43">
                  <c:v>12424</c:v>
                </c:pt>
                <c:pt idx="44">
                  <c:v>10115</c:v>
                </c:pt>
                <c:pt idx="45">
                  <c:v>9539</c:v>
                </c:pt>
                <c:pt idx="46">
                  <c:v>8547</c:v>
                </c:pt>
                <c:pt idx="47">
                  <c:v>8081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B-4148-B735-2EDBB03AEFE8}"/>
            </c:ext>
          </c:extLst>
        </c:ser>
        <c:ser>
          <c:idx val="3"/>
          <c:order val="1"/>
          <c:tx>
            <c:strRef>
              <c:f>データシート!$C$280</c:f>
              <c:strCache>
                <c:ptCount val="1"/>
                <c:pt idx="0">
                  <c:v>雑誌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strRef>
              <c:f>データシート!$D$278:$AY$278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データシート!$D$280:$AY$280</c:f>
              <c:numCache>
                <c:formatCode>#,##0_);[Red]\(#,##0\)</c:formatCode>
                <c:ptCount val="48"/>
                <c:pt idx="0">
                  <c:v>10080.115384615385</c:v>
                </c:pt>
                <c:pt idx="1">
                  <c:v>12909.303797468354</c:v>
                </c:pt>
                <c:pt idx="2">
                  <c:v>13320.963414634147</c:v>
                </c:pt>
                <c:pt idx="3">
                  <c:v>14285.634146341463</c:v>
                </c:pt>
                <c:pt idx="4">
                  <c:v>14572.904761904761</c:v>
                </c:pt>
                <c:pt idx="5">
                  <c:v>17525.452380952382</c:v>
                </c:pt>
                <c:pt idx="6">
                  <c:v>20127.284090909092</c:v>
                </c:pt>
                <c:pt idx="7">
                  <c:v>24481.067415730337</c:v>
                </c:pt>
                <c:pt idx="8">
                  <c:v>28344.022471910113</c:v>
                </c:pt>
                <c:pt idx="9">
                  <c:v>27086.389473684212</c:v>
                </c:pt>
                <c:pt idx="10">
                  <c:v>28555.873684210525</c:v>
                </c:pt>
                <c:pt idx="11">
                  <c:v>27070.901960784315</c:v>
                </c:pt>
                <c:pt idx="12">
                  <c:v>26547.981481481482</c:v>
                </c:pt>
                <c:pt idx="13">
                  <c:v>27383.178571428572</c:v>
                </c:pt>
                <c:pt idx="14">
                  <c:v>26768.846846846845</c:v>
                </c:pt>
                <c:pt idx="15">
                  <c:v>30547.837606837606</c:v>
                </c:pt>
                <c:pt idx="16">
                  <c:v>29368.296875</c:v>
                </c:pt>
                <c:pt idx="17">
                  <c:v>30699.26923076923</c:v>
                </c:pt>
                <c:pt idx="18">
                  <c:v>30427.729927007298</c:v>
                </c:pt>
                <c:pt idx="19">
                  <c:v>28930.262068965516</c:v>
                </c:pt>
                <c:pt idx="20">
                  <c:v>29585.973684210527</c:v>
                </c:pt>
                <c:pt idx="21">
                  <c:v>30674.589743589742</c:v>
                </c:pt>
                <c:pt idx="22">
                  <c:v>32015.815950920245</c:v>
                </c:pt>
                <c:pt idx="23">
                  <c:v>34034.093023255817</c:v>
                </c:pt>
                <c:pt idx="24">
                  <c:v>32588.54010695187</c:v>
                </c:pt>
                <c:pt idx="25">
                  <c:v>29853.189054726368</c:v>
                </c:pt>
                <c:pt idx="26">
                  <c:v>28597.753424657534</c:v>
                </c:pt>
                <c:pt idx="27">
                  <c:v>28318.721238938055</c:v>
                </c:pt>
                <c:pt idx="28">
                  <c:v>28120.162393162394</c:v>
                </c:pt>
                <c:pt idx="29">
                  <c:v>27050.872881355932</c:v>
                </c:pt>
                <c:pt idx="30">
                  <c:v>23874.893877551021</c:v>
                </c:pt>
                <c:pt idx="31">
                  <c:v>23321.599221789882</c:v>
                </c:pt>
                <c:pt idx="32">
                  <c:v>22178.664150943398</c:v>
                </c:pt>
                <c:pt idx="33">
                  <c:v>19301.608365019012</c:v>
                </c:pt>
                <c:pt idx="34">
                  <c:v>16805.24060150376</c:v>
                </c:pt>
                <c:pt idx="35">
                  <c:v>14155.409594095941</c:v>
                </c:pt>
                <c:pt idx="36">
                  <c:v>12896.442379182155</c:v>
                </c:pt>
                <c:pt idx="37">
                  <c:v>12522.501915708812</c:v>
                </c:pt>
                <c:pt idx="38">
                  <c:v>12128.523985239852</c:v>
                </c:pt>
                <c:pt idx="39">
                  <c:v>12211.751851851852</c:v>
                </c:pt>
                <c:pt idx="40">
                  <c:v>11086.182835820895</c:v>
                </c:pt>
                <c:pt idx="41">
                  <c:v>10323</c:v>
                </c:pt>
                <c:pt idx="42">
                  <c:v>9580</c:v>
                </c:pt>
                <c:pt idx="43">
                  <c:v>8728</c:v>
                </c:pt>
                <c:pt idx="44">
                  <c:v>8198</c:v>
                </c:pt>
                <c:pt idx="45">
                  <c:v>7941</c:v>
                </c:pt>
                <c:pt idx="46">
                  <c:v>7299</c:v>
                </c:pt>
                <c:pt idx="47">
                  <c:v>6891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2B-4148-B735-2EDBB03AEFE8}"/>
            </c:ext>
          </c:extLst>
        </c:ser>
        <c:ser>
          <c:idx val="1"/>
          <c:order val="2"/>
          <c:tx>
            <c:strRef>
              <c:f>データシート!$C$281</c:f>
              <c:strCache>
                <c:ptCount val="1"/>
                <c:pt idx="0">
                  <c:v>電子ジャーナル</c:v>
                </c:pt>
              </c:strCache>
            </c:strRef>
          </c:tx>
          <c:invertIfNegative val="0"/>
          <c:cat>
            <c:strRef>
              <c:f>データシート!$D$278:$AY$278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データシート!$D$281:$AY$281</c:f>
              <c:numCache>
                <c:formatCode>#,##0_);[Red]\(#,##0\)</c:formatCode>
                <c:ptCount val="48"/>
                <c:pt idx="29">
                  <c:v>3067.3728813559323</c:v>
                </c:pt>
                <c:pt idx="30">
                  <c:v>4368.3999999999996</c:v>
                </c:pt>
                <c:pt idx="31">
                  <c:v>5660.0700389105059</c:v>
                </c:pt>
                <c:pt idx="32">
                  <c:v>7375.9245283018872</c:v>
                </c:pt>
                <c:pt idx="33">
                  <c:v>9800.2129277566546</c:v>
                </c:pt>
                <c:pt idx="34">
                  <c:v>10974.563909774437</c:v>
                </c:pt>
                <c:pt idx="35">
                  <c:v>11004.918819188191</c:v>
                </c:pt>
                <c:pt idx="36">
                  <c:v>11766.918215613383</c:v>
                </c:pt>
                <c:pt idx="37">
                  <c:v>12817.065134099617</c:v>
                </c:pt>
                <c:pt idx="38">
                  <c:v>13570.107011070111</c:v>
                </c:pt>
                <c:pt idx="39">
                  <c:v>14096.488888888889</c:v>
                </c:pt>
                <c:pt idx="40">
                  <c:v>14515.794776119403</c:v>
                </c:pt>
                <c:pt idx="41">
                  <c:v>14184</c:v>
                </c:pt>
                <c:pt idx="42">
                  <c:v>13845</c:v>
                </c:pt>
                <c:pt idx="43">
                  <c:v>14573</c:v>
                </c:pt>
                <c:pt idx="44">
                  <c:v>14513</c:v>
                </c:pt>
                <c:pt idx="45">
                  <c:v>14338</c:v>
                </c:pt>
                <c:pt idx="46">
                  <c:v>14589</c:v>
                </c:pt>
                <c:pt idx="47">
                  <c:v>15743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2B-4148-B735-2EDBB03AEFE8}"/>
            </c:ext>
          </c:extLst>
        </c:ser>
        <c:ser>
          <c:idx val="2"/>
          <c:order val="3"/>
          <c:tx>
            <c:strRef>
              <c:f>データシート!$C$282</c:f>
              <c:strCache>
                <c:ptCount val="1"/>
                <c:pt idx="0">
                  <c:v>電子書籍</c:v>
                </c:pt>
              </c:strCache>
            </c:strRef>
          </c:tx>
          <c:invertIfNegative val="0"/>
          <c:cat>
            <c:strRef>
              <c:f>データシート!$D$278:$AY$278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データシート!$D$282:$AY$282</c:f>
              <c:numCache>
                <c:formatCode>#,##0_);[Red]\(#,##0\)</c:formatCode>
                <c:ptCount val="48"/>
                <c:pt idx="35">
                  <c:v>434.57564575645756</c:v>
                </c:pt>
                <c:pt idx="36">
                  <c:v>229.24163568773236</c:v>
                </c:pt>
                <c:pt idx="37">
                  <c:v>380.79693486590037</c:v>
                </c:pt>
                <c:pt idx="38">
                  <c:v>642.44280442804427</c:v>
                </c:pt>
                <c:pt idx="39">
                  <c:v>741.03703703703707</c:v>
                </c:pt>
                <c:pt idx="40">
                  <c:v>547.94402985074623</c:v>
                </c:pt>
                <c:pt idx="41">
                  <c:v>745</c:v>
                </c:pt>
                <c:pt idx="42">
                  <c:v>842</c:v>
                </c:pt>
                <c:pt idx="43">
                  <c:v>708</c:v>
                </c:pt>
                <c:pt idx="44">
                  <c:v>649</c:v>
                </c:pt>
                <c:pt idx="45">
                  <c:v>1253</c:v>
                </c:pt>
                <c:pt idx="46">
                  <c:v>1267</c:v>
                </c:pt>
                <c:pt idx="47">
                  <c:v>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2B-4148-B735-2EDBB03AEFE8}"/>
            </c:ext>
          </c:extLst>
        </c:ser>
        <c:ser>
          <c:idx val="4"/>
          <c:order val="4"/>
          <c:tx>
            <c:strRef>
              <c:f>データシート!$C$283</c:f>
              <c:strCache>
                <c:ptCount val="1"/>
                <c:pt idx="0">
                  <c:v>データベース</c:v>
                </c:pt>
              </c:strCache>
            </c:strRef>
          </c:tx>
          <c:invertIfNegative val="0"/>
          <c:cat>
            <c:strRef>
              <c:f>データシート!$D$278:$AY$278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データシート!$D$283:$AY$283</c:f>
              <c:numCache>
                <c:formatCode>#,##0_);[Red]\(#,##0\)</c:formatCode>
                <c:ptCount val="48"/>
                <c:pt idx="35">
                  <c:v>3610.6642066420663</c:v>
                </c:pt>
                <c:pt idx="36">
                  <c:v>3870.2007434944239</c:v>
                </c:pt>
                <c:pt idx="37">
                  <c:v>4285.5785440613026</c:v>
                </c:pt>
                <c:pt idx="38">
                  <c:v>4311.19557195572</c:v>
                </c:pt>
                <c:pt idx="39">
                  <c:v>4523.4740740740745</c:v>
                </c:pt>
                <c:pt idx="40">
                  <c:v>4370.9029850746265</c:v>
                </c:pt>
                <c:pt idx="41">
                  <c:v>4212</c:v>
                </c:pt>
                <c:pt idx="42">
                  <c:v>4477</c:v>
                </c:pt>
                <c:pt idx="43">
                  <c:v>4543</c:v>
                </c:pt>
                <c:pt idx="44">
                  <c:v>4630</c:v>
                </c:pt>
                <c:pt idx="45">
                  <c:v>4831</c:v>
                </c:pt>
                <c:pt idx="46">
                  <c:v>5143</c:v>
                </c:pt>
                <c:pt idx="47">
                  <c:v>5346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2B-4148-B735-2EDBB03AEFE8}"/>
            </c:ext>
          </c:extLst>
        </c:ser>
        <c:ser>
          <c:idx val="5"/>
          <c:order val="5"/>
          <c:tx>
            <c:strRef>
              <c:f>データシート!$C$284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データシート!$D$278:$AY$278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データシート!$D$284:$AY$284</c:f>
              <c:numCache>
                <c:formatCode>#,##0_);[Red]\(#,##0\)</c:formatCode>
                <c:ptCount val="48"/>
                <c:pt idx="0">
                  <c:v>1150.1153846153845</c:v>
                </c:pt>
                <c:pt idx="1">
                  <c:v>1113.5443037974683</c:v>
                </c:pt>
                <c:pt idx="2">
                  <c:v>1103.7317073170732</c:v>
                </c:pt>
                <c:pt idx="3">
                  <c:v>1255.9512195121952</c:v>
                </c:pt>
                <c:pt idx="4">
                  <c:v>1912.0952380952381</c:v>
                </c:pt>
                <c:pt idx="5">
                  <c:v>2720.1428571428573</c:v>
                </c:pt>
                <c:pt idx="6">
                  <c:v>2694.125</c:v>
                </c:pt>
                <c:pt idx="7">
                  <c:v>3011.7865168539324</c:v>
                </c:pt>
                <c:pt idx="8">
                  <c:v>4367.4382022471909</c:v>
                </c:pt>
                <c:pt idx="9">
                  <c:v>6012.6105263157897</c:v>
                </c:pt>
                <c:pt idx="10">
                  <c:v>5689.4947368421053</c:v>
                </c:pt>
                <c:pt idx="11">
                  <c:v>4868.5196078431372</c:v>
                </c:pt>
                <c:pt idx="12">
                  <c:v>5862.8888888888887</c:v>
                </c:pt>
                <c:pt idx="13">
                  <c:v>5877.2857142857147</c:v>
                </c:pt>
                <c:pt idx="14">
                  <c:v>5748.9819819819822</c:v>
                </c:pt>
                <c:pt idx="15">
                  <c:v>6665.7521367521367</c:v>
                </c:pt>
                <c:pt idx="16">
                  <c:v>6269.2109375</c:v>
                </c:pt>
                <c:pt idx="17">
                  <c:v>7482.7769230769227</c:v>
                </c:pt>
                <c:pt idx="18">
                  <c:v>7598.2043795620439</c:v>
                </c:pt>
                <c:pt idx="19">
                  <c:v>12158.062068965517</c:v>
                </c:pt>
                <c:pt idx="20">
                  <c:v>10164.947368421053</c:v>
                </c:pt>
                <c:pt idx="21">
                  <c:v>8467.3910256410254</c:v>
                </c:pt>
                <c:pt idx="22">
                  <c:v>8329.6134969325158</c:v>
                </c:pt>
                <c:pt idx="23">
                  <c:v>10159.85465116279</c:v>
                </c:pt>
                <c:pt idx="24">
                  <c:v>9888.2780748663099</c:v>
                </c:pt>
                <c:pt idx="25">
                  <c:v>8448.4228855721394</c:v>
                </c:pt>
                <c:pt idx="26">
                  <c:v>7327.6210045662101</c:v>
                </c:pt>
                <c:pt idx="27">
                  <c:v>7175.5132743362828</c:v>
                </c:pt>
                <c:pt idx="28">
                  <c:v>7219.166666666667</c:v>
                </c:pt>
                <c:pt idx="29">
                  <c:v>5335.6483050847455</c:v>
                </c:pt>
                <c:pt idx="30">
                  <c:v>5070.0775510204085</c:v>
                </c:pt>
                <c:pt idx="31">
                  <c:v>5237.3463035019458</c:v>
                </c:pt>
                <c:pt idx="32">
                  <c:v>5420.6113207547169</c:v>
                </c:pt>
                <c:pt idx="33">
                  <c:v>5754.7680608365017</c:v>
                </c:pt>
                <c:pt idx="34">
                  <c:v>5867.2894736842109</c:v>
                </c:pt>
                <c:pt idx="35">
                  <c:v>3447.1808118081181</c:v>
                </c:pt>
                <c:pt idx="36">
                  <c:v>3048.9665427509294</c:v>
                </c:pt>
                <c:pt idx="37">
                  <c:v>3141.015325670498</c:v>
                </c:pt>
                <c:pt idx="38">
                  <c:v>2720.2619926199263</c:v>
                </c:pt>
                <c:pt idx="39">
                  <c:v>2732.2962962962961</c:v>
                </c:pt>
                <c:pt idx="40">
                  <c:v>2139.3358208955224</c:v>
                </c:pt>
                <c:pt idx="41">
                  <c:v>2071</c:v>
                </c:pt>
                <c:pt idx="42">
                  <c:v>2053</c:v>
                </c:pt>
                <c:pt idx="43">
                  <c:v>2227</c:v>
                </c:pt>
                <c:pt idx="44">
                  <c:v>1869</c:v>
                </c:pt>
                <c:pt idx="45">
                  <c:v>1856</c:v>
                </c:pt>
                <c:pt idx="46">
                  <c:v>2004</c:v>
                </c:pt>
                <c:pt idx="47">
                  <c:v>1814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2B-4148-B735-2EDBB03AE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1976448"/>
        <c:axId val="221995008"/>
      </c:barChart>
      <c:lineChart>
        <c:grouping val="standard"/>
        <c:varyColors val="0"/>
        <c:ser>
          <c:idx val="6"/>
          <c:order val="6"/>
          <c:tx>
            <c:strRef>
              <c:f>データシート!$C$286</c:f>
              <c:strCache>
                <c:ptCount val="1"/>
                <c:pt idx="0">
                  <c:v>対大学総経費比率</c:v>
                </c:pt>
              </c:strCache>
            </c:strRef>
          </c:tx>
          <c:cat>
            <c:strRef>
              <c:f>データシート!$D$278:$AY$278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データシート!$D$286:$AY$286</c:f>
              <c:numCache>
                <c:formatCode>#,##0.00_);[Red]\(#,##0.00\)</c:formatCode>
                <c:ptCount val="48"/>
                <c:pt idx="0">
                  <c:v>1.8361699300815437</c:v>
                </c:pt>
                <c:pt idx="1">
                  <c:v>1.915560733941478</c:v>
                </c:pt>
                <c:pt idx="2">
                  <c:v>1.9344169862176857</c:v>
                </c:pt>
                <c:pt idx="3">
                  <c:v>1.9485762751565021</c:v>
                </c:pt>
                <c:pt idx="4">
                  <c:v>1.9297995430073323</c:v>
                </c:pt>
                <c:pt idx="5">
                  <c:v>1.8809747355656912</c:v>
                </c:pt>
                <c:pt idx="6">
                  <c:v>2.0414189736499937</c:v>
                </c:pt>
                <c:pt idx="7">
                  <c:v>1.9284912419711955</c:v>
                </c:pt>
                <c:pt idx="8">
                  <c:v>2.0455862184271463</c:v>
                </c:pt>
                <c:pt idx="9">
                  <c:v>1.9051008187577279</c:v>
                </c:pt>
                <c:pt idx="10">
                  <c:v>1.9881149469331987</c:v>
                </c:pt>
                <c:pt idx="11">
                  <c:v>1.9893950193755883</c:v>
                </c:pt>
                <c:pt idx="12">
                  <c:v>1.8400293801141812</c:v>
                </c:pt>
                <c:pt idx="13">
                  <c:v>1.9417102760017684</c:v>
                </c:pt>
                <c:pt idx="14">
                  <c:v>1.9029783551096469</c:v>
                </c:pt>
                <c:pt idx="15">
                  <c:v>1.8781822251653597</c:v>
                </c:pt>
                <c:pt idx="16">
                  <c:v>1.9142187301084177</c:v>
                </c:pt>
                <c:pt idx="17">
                  <c:v>1.8444441462704579</c:v>
                </c:pt>
                <c:pt idx="18">
                  <c:v>1.7100712527515967</c:v>
                </c:pt>
                <c:pt idx="19">
                  <c:v>1.8493274161598467</c:v>
                </c:pt>
                <c:pt idx="20">
                  <c:v>1.8161583053590007</c:v>
                </c:pt>
                <c:pt idx="21">
                  <c:v>1.7765965911714632</c:v>
                </c:pt>
                <c:pt idx="22">
                  <c:v>1.6803239134313315</c:v>
                </c:pt>
                <c:pt idx="23">
                  <c:v>1.7846335155894173</c:v>
                </c:pt>
                <c:pt idx="24">
                  <c:v>1.9117449830848641</c:v>
                </c:pt>
                <c:pt idx="25">
                  <c:v>1.8390897238903012</c:v>
                </c:pt>
                <c:pt idx="26">
                  <c:v>1.609109128538549</c:v>
                </c:pt>
                <c:pt idx="27">
                  <c:v>1.5452034404359214</c:v>
                </c:pt>
                <c:pt idx="28">
                  <c:v>1.5687741041469707</c:v>
                </c:pt>
                <c:pt idx="29">
                  <c:v>1.40025033888645</c:v>
                </c:pt>
                <c:pt idx="30">
                  <c:v>1.267976272350652</c:v>
                </c:pt>
                <c:pt idx="31">
                  <c:v>1.1584840407584445</c:v>
                </c:pt>
                <c:pt idx="32">
                  <c:v>1.1641778746261131</c:v>
                </c:pt>
                <c:pt idx="33">
                  <c:v>1.1453426359106325</c:v>
                </c:pt>
                <c:pt idx="34">
                  <c:v>1.1175146422890654</c:v>
                </c:pt>
                <c:pt idx="35">
                  <c:v>1.1119539071230276</c:v>
                </c:pt>
                <c:pt idx="36">
                  <c:v>1.0446592709798408</c:v>
                </c:pt>
                <c:pt idx="37">
                  <c:v>1.0093044609185633</c:v>
                </c:pt>
                <c:pt idx="38">
                  <c:v>1.0289829743911973</c:v>
                </c:pt>
                <c:pt idx="39">
                  <c:v>1.1063722404871756</c:v>
                </c:pt>
                <c:pt idx="40">
                  <c:v>1.1067174216820594</c:v>
                </c:pt>
                <c:pt idx="41">
                  <c:v>1.0340157906897209</c:v>
                </c:pt>
                <c:pt idx="42" formatCode="#,##0.000;[Red]\-#,##0.000">
                  <c:v>0.95634152170520537</c:v>
                </c:pt>
                <c:pt idx="43" formatCode="#,##0.000;[Red]\-#,##0.000">
                  <c:v>0.99408665716313038</c:v>
                </c:pt>
                <c:pt idx="44" formatCode="#,##0.000;[Red]\-#,##0.000">
                  <c:v>0.89441312700359965</c:v>
                </c:pt>
                <c:pt idx="45" formatCode="#,##0.000;[Red]\-#,##0.000">
                  <c:v>0.90029507836217459</c:v>
                </c:pt>
                <c:pt idx="46" formatCode="#,##0.000;[Red]\-#,##0.000">
                  <c:v>0.86476992613177561</c:v>
                </c:pt>
                <c:pt idx="47" formatCode="#,##0.000;[Red]\-#,##0.000">
                  <c:v>0.30145011143169975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62B-4148-B735-2EDBB03AE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015488"/>
        <c:axId val="221997312"/>
      </c:lineChart>
      <c:catAx>
        <c:axId val="22197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96614797979797995"/>
              <c:y val="0.9559471365638769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21995008"/>
        <c:crosses val="autoZero"/>
        <c:auto val="1"/>
        <c:lblAlgn val="ctr"/>
        <c:lblOffset val="100"/>
        <c:noMultiLvlLbl val="0"/>
      </c:catAx>
      <c:valAx>
        <c:axId val="221995008"/>
        <c:scaling>
          <c:orientation val="minMax"/>
          <c:max val="12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3.20024242424242E-2"/>
              <c:y val="6.3016021675704595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21976448"/>
        <c:crosses val="autoZero"/>
        <c:crossBetween val="between"/>
        <c:dispUnits>
          <c:builtInUnit val="thousands"/>
        </c:dispUnits>
      </c:valAx>
      <c:valAx>
        <c:axId val="221997312"/>
        <c:scaling>
          <c:orientation val="minMax"/>
          <c:max val="2.2000000000000002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1200" b="0"/>
                </a:pPr>
                <a:r>
                  <a:rPr lang="en-US" altLang="ja-JP" sz="1200" b="0"/>
                  <a:t>%</a:t>
                </a:r>
                <a:endParaRPr lang="ja-JP" altLang="en-US" sz="1200" b="0"/>
              </a:p>
            </c:rich>
          </c:tx>
          <c:layout>
            <c:manualLayout>
              <c:xMode val="edge"/>
              <c:yMode val="edge"/>
              <c:x val="0.95638383838383834"/>
              <c:y val="6.4854294094295481E-2"/>
            </c:manualLayout>
          </c:layout>
          <c:overlay val="0"/>
        </c:title>
        <c:numFmt formatCode="#,##0.0;[Red]\-#,##0.0" sourceLinked="0"/>
        <c:majorTickMark val="out"/>
        <c:minorTickMark val="none"/>
        <c:tickLblPos val="nextTo"/>
        <c:crossAx val="222015488"/>
        <c:crosses val="max"/>
        <c:crossBetween val="between"/>
        <c:majorUnit val="0.2"/>
      </c:valAx>
      <c:catAx>
        <c:axId val="222015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99731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165237166756959"/>
          <c:y val="0.10939786711683067"/>
          <c:w val="0.15076418087536433"/>
          <c:h val="0.2857562408223201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図書館資料費の推移</a:t>
            </a:r>
            <a:r>
              <a:rPr lang="ja-JP" altLang="en-US" baseline="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： 私立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</a:t>
            </a:r>
            <a:r>
              <a:rPr lang="en-US" altLang="ja-JP" sz="1800" b="1" i="0" u="none" strike="noStrike" baseline="0">
                <a:effectLst/>
              </a:rPr>
              <a:t>D(</a:t>
            </a:r>
            <a:r>
              <a:rPr lang="ja-JP" altLang="ja-JP" sz="1800" b="1" i="0" u="none" strike="noStrike" baseline="0">
                <a:effectLst/>
              </a:rPr>
              <a:t>単科大学</a:t>
            </a:r>
            <a:r>
              <a:rPr lang="en-US" altLang="ja-JP" sz="1800" b="1" i="0" u="none" strike="noStrike" baseline="0">
                <a:effectLst/>
              </a:rPr>
              <a:t>)</a:t>
            </a:r>
            <a:r>
              <a:rPr lang="ja-JP" altLang="ja-JP" sz="1800" b="1" i="0" u="none" strike="noStrike" baseline="0">
                <a:effectLst/>
              </a:rPr>
              <a:t> 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1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大学あたり平均額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4796767676767697E-2"/>
          <c:y val="0.100394278908969"/>
          <c:w val="0.93279040404040403"/>
          <c:h val="0.84462266005295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データシート!$C$298</c:f>
              <c:strCache>
                <c:ptCount val="1"/>
                <c:pt idx="0">
                  <c:v>図書</c:v>
                </c:pt>
              </c:strCache>
            </c:strRef>
          </c:tx>
          <c:invertIfNegative val="0"/>
          <c:cat>
            <c:strRef>
              <c:f>データシート!$D$297:$AY$297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データシート!$D$298:$AY$298</c:f>
              <c:numCache>
                <c:formatCode>#,##0_);[Red]\(#,##0\)</c:formatCode>
                <c:ptCount val="48"/>
                <c:pt idx="0">
                  <c:v>11112.331658291458</c:v>
                </c:pt>
                <c:pt idx="1">
                  <c:v>12269.299019607843</c:v>
                </c:pt>
                <c:pt idx="2">
                  <c:v>14197.1592039801</c:v>
                </c:pt>
                <c:pt idx="3">
                  <c:v>17542.980198019803</c:v>
                </c:pt>
                <c:pt idx="4">
                  <c:v>18570.932038834952</c:v>
                </c:pt>
                <c:pt idx="5">
                  <c:v>20248.456310679612</c:v>
                </c:pt>
                <c:pt idx="6">
                  <c:v>20904.024154589373</c:v>
                </c:pt>
                <c:pt idx="7">
                  <c:v>20697.10576923077</c:v>
                </c:pt>
                <c:pt idx="8">
                  <c:v>21767.742857142857</c:v>
                </c:pt>
                <c:pt idx="9">
                  <c:v>23567.376811594204</c:v>
                </c:pt>
                <c:pt idx="10">
                  <c:v>24201.347619047618</c:v>
                </c:pt>
                <c:pt idx="11">
                  <c:v>25038.666666666668</c:v>
                </c:pt>
                <c:pt idx="12">
                  <c:v>24654.53023255814</c:v>
                </c:pt>
                <c:pt idx="13">
                  <c:v>24136.799065420561</c:v>
                </c:pt>
                <c:pt idx="14">
                  <c:v>25810.105022831049</c:v>
                </c:pt>
                <c:pt idx="15">
                  <c:v>25090.215596330276</c:v>
                </c:pt>
                <c:pt idx="16">
                  <c:v>26458.530516431925</c:v>
                </c:pt>
                <c:pt idx="17">
                  <c:v>27997.375</c:v>
                </c:pt>
                <c:pt idx="18">
                  <c:v>27653.544642857141</c:v>
                </c:pt>
                <c:pt idx="19">
                  <c:v>25419.63111111111</c:v>
                </c:pt>
                <c:pt idx="20">
                  <c:v>24672.38157894737</c:v>
                </c:pt>
                <c:pt idx="21">
                  <c:v>25196.436123348016</c:v>
                </c:pt>
                <c:pt idx="22">
                  <c:v>23110.021367521367</c:v>
                </c:pt>
                <c:pt idx="23">
                  <c:v>22404.889361702128</c:v>
                </c:pt>
                <c:pt idx="24">
                  <c:v>24882.243697478993</c:v>
                </c:pt>
                <c:pt idx="25">
                  <c:v>20292.670781893004</c:v>
                </c:pt>
                <c:pt idx="26">
                  <c:v>18429.27966101695</c:v>
                </c:pt>
                <c:pt idx="27">
                  <c:v>16266.68619246862</c:v>
                </c:pt>
                <c:pt idx="28">
                  <c:v>15233.530364372469</c:v>
                </c:pt>
                <c:pt idx="29">
                  <c:v>14606.895582329318</c:v>
                </c:pt>
                <c:pt idx="30">
                  <c:v>14272.453441295547</c:v>
                </c:pt>
                <c:pt idx="31">
                  <c:v>14285.975409836066</c:v>
                </c:pt>
                <c:pt idx="32">
                  <c:v>10845.63179916318</c:v>
                </c:pt>
                <c:pt idx="33">
                  <c:v>9913.0699588477364</c:v>
                </c:pt>
                <c:pt idx="34">
                  <c:v>8435.2887029288704</c:v>
                </c:pt>
                <c:pt idx="35">
                  <c:v>8884.5822784810134</c:v>
                </c:pt>
                <c:pt idx="36">
                  <c:v>8000.3526970954354</c:v>
                </c:pt>
                <c:pt idx="37">
                  <c:v>7354.7786885245905</c:v>
                </c:pt>
                <c:pt idx="38">
                  <c:v>6747.3813559322034</c:v>
                </c:pt>
                <c:pt idx="39">
                  <c:v>6486.4034334763946</c:v>
                </c:pt>
                <c:pt idx="40">
                  <c:v>6098.3555555555558</c:v>
                </c:pt>
                <c:pt idx="41">
                  <c:v>5795</c:v>
                </c:pt>
                <c:pt idx="42">
                  <c:v>5420</c:v>
                </c:pt>
                <c:pt idx="43">
                  <c:v>4559</c:v>
                </c:pt>
                <c:pt idx="44">
                  <c:v>4552</c:v>
                </c:pt>
                <c:pt idx="45">
                  <c:v>5383</c:v>
                </c:pt>
                <c:pt idx="46">
                  <c:v>4121</c:v>
                </c:pt>
                <c:pt idx="47">
                  <c:v>3795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D-4625-85D3-BBB4461B19FC}"/>
            </c:ext>
          </c:extLst>
        </c:ser>
        <c:ser>
          <c:idx val="3"/>
          <c:order val="1"/>
          <c:tx>
            <c:strRef>
              <c:f>データシート!$C$299</c:f>
              <c:strCache>
                <c:ptCount val="1"/>
                <c:pt idx="0">
                  <c:v>雑誌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strRef>
              <c:f>データシート!$D$297:$AY$297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データシート!$D$299:$AY$299</c:f>
              <c:numCache>
                <c:formatCode>#,##0_);[Red]\(#,##0\)</c:formatCode>
                <c:ptCount val="48"/>
                <c:pt idx="0">
                  <c:v>6282.6783919597992</c:v>
                </c:pt>
                <c:pt idx="1">
                  <c:v>6432.661764705882</c:v>
                </c:pt>
                <c:pt idx="2">
                  <c:v>6930.6417910447763</c:v>
                </c:pt>
                <c:pt idx="3">
                  <c:v>7227.0891089108909</c:v>
                </c:pt>
                <c:pt idx="4">
                  <c:v>8018.441747572816</c:v>
                </c:pt>
                <c:pt idx="5">
                  <c:v>9180.0728155339802</c:v>
                </c:pt>
                <c:pt idx="6">
                  <c:v>10346.661835748791</c:v>
                </c:pt>
                <c:pt idx="7">
                  <c:v>11607.620192307691</c:v>
                </c:pt>
                <c:pt idx="8">
                  <c:v>12205.514285714286</c:v>
                </c:pt>
                <c:pt idx="9">
                  <c:v>12662.333333333334</c:v>
                </c:pt>
                <c:pt idx="10">
                  <c:v>13062.528571428571</c:v>
                </c:pt>
                <c:pt idx="11">
                  <c:v>13463.08695652174</c:v>
                </c:pt>
                <c:pt idx="12">
                  <c:v>12775.679069767442</c:v>
                </c:pt>
                <c:pt idx="13">
                  <c:v>13075.742990654206</c:v>
                </c:pt>
                <c:pt idx="14">
                  <c:v>13709.264840182648</c:v>
                </c:pt>
                <c:pt idx="15">
                  <c:v>14833.944954128441</c:v>
                </c:pt>
                <c:pt idx="16">
                  <c:v>16374.995305164319</c:v>
                </c:pt>
                <c:pt idx="17">
                  <c:v>17163.986111111109</c:v>
                </c:pt>
                <c:pt idx="18">
                  <c:v>16755.209821428572</c:v>
                </c:pt>
                <c:pt idx="19">
                  <c:v>15411.093333333334</c:v>
                </c:pt>
                <c:pt idx="20">
                  <c:v>15166.71052631579</c:v>
                </c:pt>
                <c:pt idx="21">
                  <c:v>16089.660792951541</c:v>
                </c:pt>
                <c:pt idx="22">
                  <c:v>16299.935897435897</c:v>
                </c:pt>
                <c:pt idx="23">
                  <c:v>17561.063829787236</c:v>
                </c:pt>
                <c:pt idx="24">
                  <c:v>16827.331932773108</c:v>
                </c:pt>
                <c:pt idx="25">
                  <c:v>15699.9670781893</c:v>
                </c:pt>
                <c:pt idx="26">
                  <c:v>14836.868644067798</c:v>
                </c:pt>
                <c:pt idx="27">
                  <c:v>14615.464435146443</c:v>
                </c:pt>
                <c:pt idx="28">
                  <c:v>13959.781376518218</c:v>
                </c:pt>
                <c:pt idx="29">
                  <c:v>13342.759036144578</c:v>
                </c:pt>
                <c:pt idx="30">
                  <c:v>12419.315789473685</c:v>
                </c:pt>
                <c:pt idx="31">
                  <c:v>11020.848360655738</c:v>
                </c:pt>
                <c:pt idx="32">
                  <c:v>9027.2970711297075</c:v>
                </c:pt>
                <c:pt idx="33">
                  <c:v>8233.1646090534978</c:v>
                </c:pt>
                <c:pt idx="34">
                  <c:v>6666.5271966527198</c:v>
                </c:pt>
                <c:pt idx="35">
                  <c:v>5916.1392405063289</c:v>
                </c:pt>
                <c:pt idx="36">
                  <c:v>5288.3070539419086</c:v>
                </c:pt>
                <c:pt idx="37">
                  <c:v>4910.372950819672</c:v>
                </c:pt>
                <c:pt idx="38">
                  <c:v>4737.0254237288136</c:v>
                </c:pt>
                <c:pt idx="39">
                  <c:v>4750.3819742489268</c:v>
                </c:pt>
                <c:pt idx="40">
                  <c:v>4608.5955555555556</c:v>
                </c:pt>
                <c:pt idx="41">
                  <c:v>3923</c:v>
                </c:pt>
                <c:pt idx="42">
                  <c:v>3665</c:v>
                </c:pt>
                <c:pt idx="43">
                  <c:v>3232</c:v>
                </c:pt>
                <c:pt idx="44">
                  <c:v>2990</c:v>
                </c:pt>
                <c:pt idx="45">
                  <c:v>2940</c:v>
                </c:pt>
                <c:pt idx="46">
                  <c:v>2673</c:v>
                </c:pt>
                <c:pt idx="47">
                  <c:v>2556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D-4625-85D3-BBB4461B19FC}"/>
            </c:ext>
          </c:extLst>
        </c:ser>
        <c:ser>
          <c:idx val="1"/>
          <c:order val="2"/>
          <c:tx>
            <c:strRef>
              <c:f>データシート!$C$300</c:f>
              <c:strCache>
                <c:ptCount val="1"/>
                <c:pt idx="0">
                  <c:v>電子ジャーナル</c:v>
                </c:pt>
              </c:strCache>
            </c:strRef>
          </c:tx>
          <c:invertIfNegative val="0"/>
          <c:cat>
            <c:strRef>
              <c:f>データシート!$D$297:$AY$297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データシート!$D$300:$AY$300</c:f>
              <c:numCache>
                <c:formatCode>#,##0_);[Red]\(#,##0\)</c:formatCode>
                <c:ptCount val="48"/>
                <c:pt idx="29">
                  <c:v>1339.128514056225</c:v>
                </c:pt>
                <c:pt idx="30">
                  <c:v>2176.3279352226718</c:v>
                </c:pt>
                <c:pt idx="31">
                  <c:v>2811.032786885246</c:v>
                </c:pt>
                <c:pt idx="32">
                  <c:v>4123.3054393305438</c:v>
                </c:pt>
                <c:pt idx="33">
                  <c:v>4886.1769547325102</c:v>
                </c:pt>
                <c:pt idx="34">
                  <c:v>5377.5564853556489</c:v>
                </c:pt>
                <c:pt idx="35">
                  <c:v>5548.4556962025317</c:v>
                </c:pt>
                <c:pt idx="36">
                  <c:v>6247</c:v>
                </c:pt>
                <c:pt idx="37">
                  <c:v>6754.8401639344265</c:v>
                </c:pt>
                <c:pt idx="38">
                  <c:v>7733.2669491525421</c:v>
                </c:pt>
                <c:pt idx="39">
                  <c:v>9270.1030042918446</c:v>
                </c:pt>
                <c:pt idx="40">
                  <c:v>9578.3644444444453</c:v>
                </c:pt>
                <c:pt idx="41">
                  <c:v>9019</c:v>
                </c:pt>
                <c:pt idx="42">
                  <c:v>8909</c:v>
                </c:pt>
                <c:pt idx="43">
                  <c:v>9135</c:v>
                </c:pt>
                <c:pt idx="44">
                  <c:v>9237</c:v>
                </c:pt>
                <c:pt idx="45">
                  <c:v>9016</c:v>
                </c:pt>
                <c:pt idx="46">
                  <c:v>8447</c:v>
                </c:pt>
                <c:pt idx="47">
                  <c:v>9072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D-4625-85D3-BBB4461B19FC}"/>
            </c:ext>
          </c:extLst>
        </c:ser>
        <c:ser>
          <c:idx val="2"/>
          <c:order val="3"/>
          <c:tx>
            <c:strRef>
              <c:f>データシート!$C$301</c:f>
              <c:strCache>
                <c:ptCount val="1"/>
                <c:pt idx="0">
                  <c:v>電子書籍</c:v>
                </c:pt>
              </c:strCache>
            </c:strRef>
          </c:tx>
          <c:invertIfNegative val="0"/>
          <c:cat>
            <c:strRef>
              <c:f>データシート!$D$297:$AY$297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データシート!$D$301:$AY$301</c:f>
              <c:numCache>
                <c:formatCode>#,##0_);[Red]\(#,##0\)</c:formatCode>
                <c:ptCount val="48"/>
                <c:pt idx="35">
                  <c:v>124.21518987341773</c:v>
                </c:pt>
                <c:pt idx="36">
                  <c:v>649.63485477178426</c:v>
                </c:pt>
                <c:pt idx="37">
                  <c:v>594.62295081967216</c:v>
                </c:pt>
                <c:pt idx="38">
                  <c:v>263.02542372881356</c:v>
                </c:pt>
                <c:pt idx="39">
                  <c:v>364.73390557939916</c:v>
                </c:pt>
                <c:pt idx="40">
                  <c:v>347.34222222222223</c:v>
                </c:pt>
                <c:pt idx="41">
                  <c:v>535</c:v>
                </c:pt>
                <c:pt idx="42">
                  <c:v>415</c:v>
                </c:pt>
                <c:pt idx="43">
                  <c:v>478</c:v>
                </c:pt>
                <c:pt idx="44">
                  <c:v>552</c:v>
                </c:pt>
                <c:pt idx="45">
                  <c:v>1037</c:v>
                </c:pt>
                <c:pt idx="46">
                  <c:v>786</c:v>
                </c:pt>
                <c:pt idx="47">
                  <c:v>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D-4625-85D3-BBB4461B19FC}"/>
            </c:ext>
          </c:extLst>
        </c:ser>
        <c:ser>
          <c:idx val="4"/>
          <c:order val="4"/>
          <c:tx>
            <c:strRef>
              <c:f>データシート!$C$302</c:f>
              <c:strCache>
                <c:ptCount val="1"/>
                <c:pt idx="0">
                  <c:v>データベース</c:v>
                </c:pt>
              </c:strCache>
            </c:strRef>
          </c:tx>
          <c:invertIfNegative val="0"/>
          <c:cat>
            <c:strRef>
              <c:f>データシート!$D$297:$AY$297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データシート!$D$302:$AY$302</c:f>
              <c:numCache>
                <c:formatCode>#,##0_);[Red]\(#,##0\)</c:formatCode>
                <c:ptCount val="48"/>
                <c:pt idx="35">
                  <c:v>1850.3881856540083</c:v>
                </c:pt>
                <c:pt idx="36">
                  <c:v>1720.6473029045644</c:v>
                </c:pt>
                <c:pt idx="37">
                  <c:v>1819.200819672131</c:v>
                </c:pt>
                <c:pt idx="38">
                  <c:v>2007.0296610169491</c:v>
                </c:pt>
                <c:pt idx="39">
                  <c:v>2205.56652360515</c:v>
                </c:pt>
                <c:pt idx="40">
                  <c:v>2344.2399999999998</c:v>
                </c:pt>
                <c:pt idx="41">
                  <c:v>2414</c:v>
                </c:pt>
                <c:pt idx="42">
                  <c:v>2478</c:v>
                </c:pt>
                <c:pt idx="43">
                  <c:v>2422</c:v>
                </c:pt>
                <c:pt idx="44">
                  <c:v>2520</c:v>
                </c:pt>
                <c:pt idx="45">
                  <c:v>2514</c:v>
                </c:pt>
                <c:pt idx="46">
                  <c:v>2533</c:v>
                </c:pt>
                <c:pt idx="47">
                  <c:v>2690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BD-4625-85D3-BBB4461B19FC}"/>
            </c:ext>
          </c:extLst>
        </c:ser>
        <c:ser>
          <c:idx val="5"/>
          <c:order val="5"/>
          <c:tx>
            <c:strRef>
              <c:f>データシート!$C$303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データシート!$D$297:$AY$297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データシート!$D$303:$AY$303</c:f>
              <c:numCache>
                <c:formatCode>#,##0_);[Red]\(#,##0\)</c:formatCode>
                <c:ptCount val="48"/>
                <c:pt idx="0">
                  <c:v>55.371859296482413</c:v>
                </c:pt>
                <c:pt idx="1">
                  <c:v>761.75490196078431</c:v>
                </c:pt>
                <c:pt idx="2">
                  <c:v>670.24378109452732</c:v>
                </c:pt>
                <c:pt idx="3">
                  <c:v>940.49009900990097</c:v>
                </c:pt>
                <c:pt idx="4">
                  <c:v>1171.7378640776699</c:v>
                </c:pt>
                <c:pt idx="5">
                  <c:v>1067.7912621359224</c:v>
                </c:pt>
                <c:pt idx="6">
                  <c:v>1464.7391304347825</c:v>
                </c:pt>
                <c:pt idx="7">
                  <c:v>1452.0625</c:v>
                </c:pt>
                <c:pt idx="8">
                  <c:v>1881.8761904761905</c:v>
                </c:pt>
                <c:pt idx="9">
                  <c:v>1958.3333333333333</c:v>
                </c:pt>
                <c:pt idx="10">
                  <c:v>1963.5285714285715</c:v>
                </c:pt>
                <c:pt idx="11">
                  <c:v>2207.5797101449275</c:v>
                </c:pt>
                <c:pt idx="12">
                  <c:v>2624.2883720930231</c:v>
                </c:pt>
                <c:pt idx="13">
                  <c:v>2559.7570093457944</c:v>
                </c:pt>
                <c:pt idx="14">
                  <c:v>2298.9543378995436</c:v>
                </c:pt>
                <c:pt idx="15">
                  <c:v>2438.1788990825689</c:v>
                </c:pt>
                <c:pt idx="16">
                  <c:v>2911.7089201877934</c:v>
                </c:pt>
                <c:pt idx="17">
                  <c:v>3306.2175925925926</c:v>
                </c:pt>
                <c:pt idx="18">
                  <c:v>3036.4910714285716</c:v>
                </c:pt>
                <c:pt idx="19">
                  <c:v>3348.4533333333334</c:v>
                </c:pt>
                <c:pt idx="20">
                  <c:v>3332.6885964912281</c:v>
                </c:pt>
                <c:pt idx="21">
                  <c:v>3581.0264317180618</c:v>
                </c:pt>
                <c:pt idx="22">
                  <c:v>3456.9957264957266</c:v>
                </c:pt>
                <c:pt idx="23">
                  <c:v>4232.9531914893614</c:v>
                </c:pt>
                <c:pt idx="24">
                  <c:v>3674.6512605042017</c:v>
                </c:pt>
                <c:pt idx="25">
                  <c:v>3752.3168724279835</c:v>
                </c:pt>
                <c:pt idx="26">
                  <c:v>3154.0169491525426</c:v>
                </c:pt>
                <c:pt idx="27">
                  <c:v>2834.4267782426778</c:v>
                </c:pt>
                <c:pt idx="28">
                  <c:v>3096.1659919028339</c:v>
                </c:pt>
                <c:pt idx="29">
                  <c:v>2292.1646586345382</c:v>
                </c:pt>
                <c:pt idx="30">
                  <c:v>2326.6558704453441</c:v>
                </c:pt>
                <c:pt idx="31">
                  <c:v>2603.5</c:v>
                </c:pt>
                <c:pt idx="32">
                  <c:v>2444.7447698744768</c:v>
                </c:pt>
                <c:pt idx="33">
                  <c:v>2611.4567901234568</c:v>
                </c:pt>
                <c:pt idx="34">
                  <c:v>2430.8117154811716</c:v>
                </c:pt>
                <c:pt idx="35">
                  <c:v>1206.210970464135</c:v>
                </c:pt>
                <c:pt idx="36">
                  <c:v>1105.402489626556</c:v>
                </c:pt>
                <c:pt idx="37">
                  <c:v>1034.3360655737704</c:v>
                </c:pt>
                <c:pt idx="38">
                  <c:v>1089.0296610169491</c:v>
                </c:pt>
                <c:pt idx="39">
                  <c:v>919.74248927038627</c:v>
                </c:pt>
                <c:pt idx="40">
                  <c:v>996.75111111111107</c:v>
                </c:pt>
                <c:pt idx="41">
                  <c:v>945</c:v>
                </c:pt>
                <c:pt idx="42">
                  <c:v>818</c:v>
                </c:pt>
                <c:pt idx="43">
                  <c:v>782</c:v>
                </c:pt>
                <c:pt idx="44">
                  <c:v>1513</c:v>
                </c:pt>
                <c:pt idx="45">
                  <c:v>662</c:v>
                </c:pt>
                <c:pt idx="46">
                  <c:v>706</c:v>
                </c:pt>
                <c:pt idx="47">
                  <c:v>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BD-4625-85D3-BBB4461B1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2095616"/>
        <c:axId val="222171520"/>
      </c:barChart>
      <c:lineChart>
        <c:grouping val="standard"/>
        <c:varyColors val="0"/>
        <c:ser>
          <c:idx val="6"/>
          <c:order val="6"/>
          <c:tx>
            <c:strRef>
              <c:f>データシート!$C$305</c:f>
              <c:strCache>
                <c:ptCount val="1"/>
                <c:pt idx="0">
                  <c:v>対大学総経費比率</c:v>
                </c:pt>
              </c:strCache>
            </c:strRef>
          </c:tx>
          <c:cat>
            <c:strRef>
              <c:f>データシート!$D$297:$AY$297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データシート!$D$305:$AY$305</c:f>
              <c:numCache>
                <c:formatCode>#,##0.00_);[Red]\(#,##0.00\)</c:formatCode>
                <c:ptCount val="48"/>
                <c:pt idx="0">
                  <c:v>1.8070154758351336</c:v>
                </c:pt>
                <c:pt idx="1">
                  <c:v>1.534868744032502</c:v>
                </c:pt>
                <c:pt idx="2">
                  <c:v>1.5681485325697926</c:v>
                </c:pt>
                <c:pt idx="3">
                  <c:v>1.540851668565461</c:v>
                </c:pt>
                <c:pt idx="4">
                  <c:v>1.7274186435015155</c:v>
                </c:pt>
                <c:pt idx="5">
                  <c:v>1.6584477186774897</c:v>
                </c:pt>
                <c:pt idx="6">
                  <c:v>1.756106234244774</c:v>
                </c:pt>
                <c:pt idx="7">
                  <c:v>1.6165942343250053</c:v>
                </c:pt>
                <c:pt idx="8">
                  <c:v>1.6745833826710743</c:v>
                </c:pt>
                <c:pt idx="9">
                  <c:v>1.4753535346416746</c:v>
                </c:pt>
                <c:pt idx="10">
                  <c:v>1.5511801484010241</c:v>
                </c:pt>
                <c:pt idx="11">
                  <c:v>1.4578347710482458</c:v>
                </c:pt>
                <c:pt idx="12">
                  <c:v>1.4098471640580901</c:v>
                </c:pt>
                <c:pt idx="13">
                  <c:v>1.3361012607119864</c:v>
                </c:pt>
                <c:pt idx="14">
                  <c:v>1.2957863681183943</c:v>
                </c:pt>
                <c:pt idx="15">
                  <c:v>1.4560826839158114</c:v>
                </c:pt>
                <c:pt idx="16">
                  <c:v>1.4077348221023245</c:v>
                </c:pt>
                <c:pt idx="17">
                  <c:v>1.4173910813438471</c:v>
                </c:pt>
                <c:pt idx="18">
                  <c:v>1.4736288961772079</c:v>
                </c:pt>
                <c:pt idx="19">
                  <c:v>1.3227745416494257</c:v>
                </c:pt>
                <c:pt idx="20">
                  <c:v>1.3878536482405268</c:v>
                </c:pt>
                <c:pt idx="21">
                  <c:v>1.3873671007389381</c:v>
                </c:pt>
                <c:pt idx="22">
                  <c:v>1.4333849217278645</c:v>
                </c:pt>
                <c:pt idx="23">
                  <c:v>1.417148011822988</c:v>
                </c:pt>
                <c:pt idx="24">
                  <c:v>1.4339086665904939</c:v>
                </c:pt>
                <c:pt idx="25">
                  <c:v>1.3028324969026948</c:v>
                </c:pt>
                <c:pt idx="26">
                  <c:v>1.0977301059958544</c:v>
                </c:pt>
                <c:pt idx="27">
                  <c:v>1.2769837479768753</c:v>
                </c:pt>
                <c:pt idx="28">
                  <c:v>1.2512150692267066</c:v>
                </c:pt>
                <c:pt idx="29">
                  <c:v>1.1152057004502862</c:v>
                </c:pt>
                <c:pt idx="30">
                  <c:v>1.0915695581433102</c:v>
                </c:pt>
                <c:pt idx="31">
                  <c:v>1.1459361608309624</c:v>
                </c:pt>
                <c:pt idx="32">
                  <c:v>1.0871669804548081</c:v>
                </c:pt>
                <c:pt idx="33">
                  <c:v>1.0563120276561706</c:v>
                </c:pt>
                <c:pt idx="34">
                  <c:v>0.93175917952323128</c:v>
                </c:pt>
                <c:pt idx="35">
                  <c:v>0.94107991260939883</c:v>
                </c:pt>
                <c:pt idx="36">
                  <c:v>0.95911401258226681</c:v>
                </c:pt>
                <c:pt idx="37">
                  <c:v>0.88888772940888205</c:v>
                </c:pt>
                <c:pt idx="38">
                  <c:v>0.92891305116408041</c:v>
                </c:pt>
                <c:pt idx="39">
                  <c:v>1.0313024949973313</c:v>
                </c:pt>
                <c:pt idx="40">
                  <c:v>0.93068009259989759</c:v>
                </c:pt>
                <c:pt idx="41">
                  <c:v>0.93888227764388787</c:v>
                </c:pt>
                <c:pt idx="42" formatCode="#,##0.000;[Red]\-#,##0.000">
                  <c:v>1.1508196323564257</c:v>
                </c:pt>
                <c:pt idx="43" formatCode="#,##0.000;[Red]\-#,##0.000">
                  <c:v>1.1391857737585842</c:v>
                </c:pt>
                <c:pt idx="44" formatCode="#,##0.000;[Red]\-#,##0.000">
                  <c:v>1.1959284834522623</c:v>
                </c:pt>
                <c:pt idx="45" formatCode="#,##0.000;[Red]\-#,##0.000">
                  <c:v>1.2018700203450503</c:v>
                </c:pt>
                <c:pt idx="46" formatCode="#,##0.000;[Red]\-#,##0.000">
                  <c:v>1.1121162799494291</c:v>
                </c:pt>
                <c:pt idx="47" formatCode="#,##0.000;[Red]\-#,##0.000">
                  <c:v>1.0751124913869912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6BD-4625-85D3-BBB4461B1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987008"/>
        <c:axId val="509979792"/>
      </c:lineChart>
      <c:catAx>
        <c:axId val="222095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96614797979797995"/>
              <c:y val="0.9559471365638769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22171520"/>
        <c:crosses val="autoZero"/>
        <c:auto val="1"/>
        <c:lblAlgn val="ctr"/>
        <c:lblOffset val="100"/>
        <c:noMultiLvlLbl val="0"/>
      </c:catAx>
      <c:valAx>
        <c:axId val="222171520"/>
        <c:scaling>
          <c:orientation val="minMax"/>
          <c:max val="5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2.4305454545454502E-2"/>
              <c:y val="6.3016021675704595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22095616"/>
        <c:crosses val="autoZero"/>
        <c:crossBetween val="between"/>
        <c:dispUnits>
          <c:builtInUnit val="thousands"/>
        </c:dispUnits>
      </c:valAx>
      <c:valAx>
        <c:axId val="509979792"/>
        <c:scaling>
          <c:orientation val="minMax"/>
        </c:scaling>
        <c:delete val="0"/>
        <c:axPos val="r"/>
        <c:numFmt formatCode="#,##0.0;[Red]\-#,##0.0" sourceLinked="0"/>
        <c:majorTickMark val="out"/>
        <c:minorTickMark val="none"/>
        <c:tickLblPos val="nextTo"/>
        <c:crossAx val="509987008"/>
        <c:crosses val="max"/>
        <c:crossBetween val="between"/>
      </c:valAx>
      <c:catAx>
        <c:axId val="509987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7979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662779046104927"/>
          <c:y val="0.10743996207522517"/>
          <c:w val="0.13285022891226095"/>
          <c:h val="0.28592418454305024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大学総経費の推移</a:t>
            </a:r>
            <a:r>
              <a:rPr lang="ja-JP" altLang="en-US" baseline="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： 国公私立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</a:t>
            </a:r>
            <a:r>
              <a:rPr lang="ja-JP" altLang="ja-JP" sz="1800" b="1" i="0" u="none" strike="noStrike" baseline="0">
                <a:effectLst/>
              </a:rPr>
              <a:t> 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1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大学あたり平均額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4796767676767697E-2"/>
          <c:y val="0.100394278908969"/>
          <c:w val="0.92255727272727273"/>
          <c:h val="0.84462266005295605"/>
        </c:manualLayout>
      </c:layout>
      <c:lineChart>
        <c:grouping val="standard"/>
        <c:varyColors val="0"/>
        <c:ser>
          <c:idx val="5"/>
          <c:order val="0"/>
          <c:tx>
            <c:strRef>
              <c:f>データシート!$C$325</c:f>
              <c:strCache>
                <c:ptCount val="1"/>
                <c:pt idx="0">
                  <c:v>全体 平均</c:v>
                </c:pt>
              </c:strCache>
            </c:strRef>
          </c:tx>
          <c:cat>
            <c:strRef>
              <c:f>データシート!$D$324:$AY$324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データシート!$D$325:$AY$325</c:f>
              <c:numCache>
                <c:formatCode>#,##0_);[Red]\(#,##0\)</c:formatCode>
                <c:ptCount val="48"/>
                <c:pt idx="0">
                  <c:v>2709000</c:v>
                </c:pt>
                <c:pt idx="1">
                  <c:v>3295000</c:v>
                </c:pt>
                <c:pt idx="2">
                  <c:v>3558000</c:v>
                </c:pt>
                <c:pt idx="3">
                  <c:v>4256000</c:v>
                </c:pt>
                <c:pt idx="4">
                  <c:v>4505070</c:v>
                </c:pt>
                <c:pt idx="5">
                  <c:v>4837325</c:v>
                </c:pt>
                <c:pt idx="6">
                  <c:v>5245486</c:v>
                </c:pt>
                <c:pt idx="7">
                  <c:v>5600941</c:v>
                </c:pt>
                <c:pt idx="8">
                  <c:v>5718951</c:v>
                </c:pt>
                <c:pt idx="9">
                  <c:v>6362387</c:v>
                </c:pt>
                <c:pt idx="10">
                  <c:v>6609326</c:v>
                </c:pt>
                <c:pt idx="11">
                  <c:v>6734746</c:v>
                </c:pt>
                <c:pt idx="12">
                  <c:v>7065596</c:v>
                </c:pt>
                <c:pt idx="13">
                  <c:v>7088829</c:v>
                </c:pt>
                <c:pt idx="14">
                  <c:v>7475104</c:v>
                </c:pt>
                <c:pt idx="15">
                  <c:v>7439200</c:v>
                </c:pt>
                <c:pt idx="16">
                  <c:v>7779628</c:v>
                </c:pt>
                <c:pt idx="17">
                  <c:v>8044852</c:v>
                </c:pt>
                <c:pt idx="18">
                  <c:v>8433391</c:v>
                </c:pt>
                <c:pt idx="19">
                  <c:v>8332465</c:v>
                </c:pt>
                <c:pt idx="20">
                  <c:v>8287354</c:v>
                </c:pt>
                <c:pt idx="21">
                  <c:v>8243278</c:v>
                </c:pt>
                <c:pt idx="22">
                  <c:v>8215939</c:v>
                </c:pt>
                <c:pt idx="23">
                  <c:v>8571945</c:v>
                </c:pt>
                <c:pt idx="24">
                  <c:v>8081261</c:v>
                </c:pt>
                <c:pt idx="25">
                  <c:v>7801142</c:v>
                </c:pt>
                <c:pt idx="26">
                  <c:v>7885778</c:v>
                </c:pt>
                <c:pt idx="27">
                  <c:v>7700456</c:v>
                </c:pt>
                <c:pt idx="28">
                  <c:v>7726736</c:v>
                </c:pt>
                <c:pt idx="29">
                  <c:v>8104509</c:v>
                </c:pt>
                <c:pt idx="30">
                  <c:v>8504065</c:v>
                </c:pt>
                <c:pt idx="31">
                  <c:v>8395938</c:v>
                </c:pt>
                <c:pt idx="32">
                  <c:v>8595411</c:v>
                </c:pt>
                <c:pt idx="33">
                  <c:v>8573785</c:v>
                </c:pt>
                <c:pt idx="34">
                  <c:v>8777740</c:v>
                </c:pt>
                <c:pt idx="35">
                  <c:v>8492073</c:v>
                </c:pt>
                <c:pt idx="36">
                  <c:v>8646940</c:v>
                </c:pt>
                <c:pt idx="37">
                  <c:v>8691184</c:v>
                </c:pt>
                <c:pt idx="38">
                  <c:v>8893758</c:v>
                </c:pt>
                <c:pt idx="39">
                  <c:v>9114420</c:v>
                </c:pt>
                <c:pt idx="40">
                  <c:v>9297475</c:v>
                </c:pt>
                <c:pt idx="41">
                  <c:v>9091132.4776500631</c:v>
                </c:pt>
                <c:pt idx="42">
                  <c:v>9018118.1870229002</c:v>
                </c:pt>
                <c:pt idx="43">
                  <c:v>9005869.9154040404</c:v>
                </c:pt>
                <c:pt idx="44">
                  <c:v>9054579.4744069912</c:v>
                </c:pt>
                <c:pt idx="45">
                  <c:v>9094789.3609394319</c:v>
                </c:pt>
                <c:pt idx="46">
                  <c:v>9135229.9346485827</c:v>
                </c:pt>
                <c:pt idx="47">
                  <c:v>12955378.163793104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DF-43E0-AF35-0B26DAF48B10}"/>
            </c:ext>
          </c:extLst>
        </c:ser>
        <c:ser>
          <c:idx val="0"/>
          <c:order val="1"/>
          <c:tx>
            <c:strRef>
              <c:f>データシート!$C$326</c:f>
              <c:strCache>
                <c:ptCount val="1"/>
                <c:pt idx="0">
                  <c:v>国立 平均</c:v>
                </c:pt>
              </c:strCache>
            </c:strRef>
          </c:tx>
          <c:marker>
            <c:symbol val="none"/>
          </c:marker>
          <c:cat>
            <c:strRef>
              <c:f>データシート!$D$324:$AY$324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データシート!$D$326:$AY$326</c:f>
              <c:numCache>
                <c:formatCode>#,##0_);[Red]\(#,##0\)</c:formatCode>
                <c:ptCount val="48"/>
                <c:pt idx="0">
                  <c:v>6068000</c:v>
                </c:pt>
                <c:pt idx="1">
                  <c:v>6868000</c:v>
                </c:pt>
                <c:pt idx="2">
                  <c:v>7343000</c:v>
                </c:pt>
                <c:pt idx="3">
                  <c:v>8766000</c:v>
                </c:pt>
                <c:pt idx="4">
                  <c:v>9825701</c:v>
                </c:pt>
                <c:pt idx="5">
                  <c:v>10520157</c:v>
                </c:pt>
                <c:pt idx="6">
                  <c:v>11142121</c:v>
                </c:pt>
                <c:pt idx="7">
                  <c:v>11587662</c:v>
                </c:pt>
                <c:pt idx="8">
                  <c:v>11938200</c:v>
                </c:pt>
                <c:pt idx="9">
                  <c:v>12805961</c:v>
                </c:pt>
                <c:pt idx="10">
                  <c:v>13274478</c:v>
                </c:pt>
                <c:pt idx="11">
                  <c:v>13635220</c:v>
                </c:pt>
                <c:pt idx="12">
                  <c:v>15281639</c:v>
                </c:pt>
                <c:pt idx="13">
                  <c:v>14913244</c:v>
                </c:pt>
                <c:pt idx="14">
                  <c:v>15298111</c:v>
                </c:pt>
                <c:pt idx="15">
                  <c:v>15595666</c:v>
                </c:pt>
                <c:pt idx="16">
                  <c:v>16337124</c:v>
                </c:pt>
                <c:pt idx="17">
                  <c:v>17310888</c:v>
                </c:pt>
                <c:pt idx="18">
                  <c:v>19396615</c:v>
                </c:pt>
                <c:pt idx="19">
                  <c:v>18285723</c:v>
                </c:pt>
                <c:pt idx="20">
                  <c:v>19515870</c:v>
                </c:pt>
                <c:pt idx="21">
                  <c:v>19511032</c:v>
                </c:pt>
                <c:pt idx="22">
                  <c:v>19406556</c:v>
                </c:pt>
                <c:pt idx="23">
                  <c:v>20847659</c:v>
                </c:pt>
                <c:pt idx="24">
                  <c:v>20678002</c:v>
                </c:pt>
                <c:pt idx="25">
                  <c:v>20576933</c:v>
                </c:pt>
                <c:pt idx="26">
                  <c:v>20245078</c:v>
                </c:pt>
                <c:pt idx="27">
                  <c:v>21115902</c:v>
                </c:pt>
                <c:pt idx="28">
                  <c:v>23781165</c:v>
                </c:pt>
                <c:pt idx="29">
                  <c:v>24655747</c:v>
                </c:pt>
                <c:pt idx="30">
                  <c:v>28705087</c:v>
                </c:pt>
                <c:pt idx="31">
                  <c:v>25891904</c:v>
                </c:pt>
                <c:pt idx="32">
                  <c:v>26801081</c:v>
                </c:pt>
                <c:pt idx="33">
                  <c:v>27821492</c:v>
                </c:pt>
                <c:pt idx="34">
                  <c:v>29831023</c:v>
                </c:pt>
                <c:pt idx="35">
                  <c:v>28087605</c:v>
                </c:pt>
                <c:pt idx="36">
                  <c:v>29476294</c:v>
                </c:pt>
                <c:pt idx="37">
                  <c:v>28544793</c:v>
                </c:pt>
                <c:pt idx="38">
                  <c:v>30329513</c:v>
                </c:pt>
                <c:pt idx="39">
                  <c:v>31862229</c:v>
                </c:pt>
                <c:pt idx="40">
                  <c:v>31139043</c:v>
                </c:pt>
                <c:pt idx="41">
                  <c:v>30870280</c:v>
                </c:pt>
                <c:pt idx="42">
                  <c:v>31294845.244186047</c:v>
                </c:pt>
                <c:pt idx="43">
                  <c:v>31585592.534883723</c:v>
                </c:pt>
                <c:pt idx="44">
                  <c:v>32199873.988372091</c:v>
                </c:pt>
                <c:pt idx="45">
                  <c:v>32289357.372093022</c:v>
                </c:pt>
                <c:pt idx="46">
                  <c:v>33950909.08139535</c:v>
                </c:pt>
                <c:pt idx="47">
                  <c:v>34422966.011627905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DF-43E0-AF35-0B26DAF48B10}"/>
            </c:ext>
          </c:extLst>
        </c:ser>
        <c:ser>
          <c:idx val="1"/>
          <c:order val="2"/>
          <c:tx>
            <c:strRef>
              <c:f>データシート!$C$331</c:f>
              <c:strCache>
                <c:ptCount val="1"/>
                <c:pt idx="0">
                  <c:v>公立 平均</c:v>
                </c:pt>
              </c:strCache>
            </c:strRef>
          </c:tx>
          <c:marker>
            <c:symbol val="none"/>
          </c:marker>
          <c:cat>
            <c:strRef>
              <c:f>データシート!$D$324:$AY$324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データシート!$D$331:$AY$331</c:f>
              <c:numCache>
                <c:formatCode>#,##0_);[Red]\(#,##0\)</c:formatCode>
                <c:ptCount val="48"/>
                <c:pt idx="0">
                  <c:v>1549000</c:v>
                </c:pt>
                <c:pt idx="1">
                  <c:v>1709000</c:v>
                </c:pt>
                <c:pt idx="2">
                  <c:v>1922000</c:v>
                </c:pt>
                <c:pt idx="3">
                  <c:v>2121000</c:v>
                </c:pt>
                <c:pt idx="4">
                  <c:v>2400184</c:v>
                </c:pt>
                <c:pt idx="5">
                  <c:v>3140176</c:v>
                </c:pt>
                <c:pt idx="6">
                  <c:v>2579338</c:v>
                </c:pt>
                <c:pt idx="7">
                  <c:v>2654458</c:v>
                </c:pt>
                <c:pt idx="8">
                  <c:v>2710123</c:v>
                </c:pt>
                <c:pt idx="9">
                  <c:v>3209935</c:v>
                </c:pt>
                <c:pt idx="10">
                  <c:v>3178844</c:v>
                </c:pt>
                <c:pt idx="11">
                  <c:v>3718639</c:v>
                </c:pt>
                <c:pt idx="12">
                  <c:v>3427172</c:v>
                </c:pt>
                <c:pt idx="13">
                  <c:v>3378212</c:v>
                </c:pt>
                <c:pt idx="14">
                  <c:v>4926464</c:v>
                </c:pt>
                <c:pt idx="15">
                  <c:v>3403770</c:v>
                </c:pt>
                <c:pt idx="16">
                  <c:v>4403042</c:v>
                </c:pt>
                <c:pt idx="17">
                  <c:v>3483601</c:v>
                </c:pt>
                <c:pt idx="18">
                  <c:v>3869939</c:v>
                </c:pt>
                <c:pt idx="19">
                  <c:v>3961691</c:v>
                </c:pt>
                <c:pt idx="20">
                  <c:v>4295618</c:v>
                </c:pt>
                <c:pt idx="21">
                  <c:v>4001853</c:v>
                </c:pt>
                <c:pt idx="22">
                  <c:v>4163954</c:v>
                </c:pt>
                <c:pt idx="23">
                  <c:v>6513356</c:v>
                </c:pt>
                <c:pt idx="24">
                  <c:v>4066284</c:v>
                </c:pt>
                <c:pt idx="25">
                  <c:v>3685980</c:v>
                </c:pt>
                <c:pt idx="26">
                  <c:v>3825011</c:v>
                </c:pt>
                <c:pt idx="27">
                  <c:v>3719405</c:v>
                </c:pt>
                <c:pt idx="28">
                  <c:v>3729700</c:v>
                </c:pt>
                <c:pt idx="29">
                  <c:v>3965590</c:v>
                </c:pt>
                <c:pt idx="30">
                  <c:v>3795626</c:v>
                </c:pt>
                <c:pt idx="31">
                  <c:v>3934925</c:v>
                </c:pt>
                <c:pt idx="32">
                  <c:v>4017781</c:v>
                </c:pt>
                <c:pt idx="33">
                  <c:v>4672243</c:v>
                </c:pt>
                <c:pt idx="34">
                  <c:v>4578956</c:v>
                </c:pt>
                <c:pt idx="35">
                  <c:v>4550193</c:v>
                </c:pt>
                <c:pt idx="36">
                  <c:v>4722196</c:v>
                </c:pt>
                <c:pt idx="37">
                  <c:v>4601547</c:v>
                </c:pt>
                <c:pt idx="38">
                  <c:v>4155212</c:v>
                </c:pt>
                <c:pt idx="39">
                  <c:v>4392765</c:v>
                </c:pt>
                <c:pt idx="40">
                  <c:v>4523230</c:v>
                </c:pt>
                <c:pt idx="41">
                  <c:v>4608060</c:v>
                </c:pt>
                <c:pt idx="42">
                  <c:v>4538262.8804347822</c:v>
                </c:pt>
                <c:pt idx="43">
                  <c:v>4599323.5268817209</c:v>
                </c:pt>
                <c:pt idx="44">
                  <c:v>4641019.0957446806</c:v>
                </c:pt>
                <c:pt idx="45">
                  <c:v>3837843.9897959186</c:v>
                </c:pt>
                <c:pt idx="46">
                  <c:v>4582700.3939393936</c:v>
                </c:pt>
                <c:pt idx="47">
                  <c:v>10957113.35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8DF-43E0-AF35-0B26DAF48B10}"/>
            </c:ext>
          </c:extLst>
        </c:ser>
        <c:ser>
          <c:idx val="2"/>
          <c:order val="3"/>
          <c:tx>
            <c:strRef>
              <c:f>データシート!$C$336</c:f>
              <c:strCache>
                <c:ptCount val="1"/>
                <c:pt idx="0">
                  <c:v>私立 平均</c:v>
                </c:pt>
              </c:strCache>
            </c:strRef>
          </c:tx>
          <c:marker>
            <c:symbol val="none"/>
          </c:marker>
          <c:cat>
            <c:strRef>
              <c:f>データシート!$D$324:$AY$324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データシート!$D$336:$AY$336</c:f>
              <c:numCache>
                <c:formatCode>#,##0_);[Red]\(#,##0\)</c:formatCode>
                <c:ptCount val="48"/>
                <c:pt idx="0">
                  <c:v>1915000</c:v>
                </c:pt>
                <c:pt idx="1">
                  <c:v>2507000</c:v>
                </c:pt>
                <c:pt idx="2">
                  <c:v>2670000</c:v>
                </c:pt>
                <c:pt idx="3">
                  <c:v>3224000</c:v>
                </c:pt>
                <c:pt idx="4">
                  <c:v>3184199</c:v>
                </c:pt>
                <c:pt idx="5">
                  <c:v>3361462</c:v>
                </c:pt>
                <c:pt idx="6">
                  <c:v>3832714</c:v>
                </c:pt>
                <c:pt idx="7">
                  <c:v>4200374</c:v>
                </c:pt>
                <c:pt idx="8">
                  <c:v>4267457</c:v>
                </c:pt>
                <c:pt idx="9">
                  <c:v>4836839</c:v>
                </c:pt>
                <c:pt idx="10">
                  <c:v>5083302</c:v>
                </c:pt>
                <c:pt idx="11">
                  <c:v>5135433</c:v>
                </c:pt>
                <c:pt idx="12">
                  <c:v>5256345</c:v>
                </c:pt>
                <c:pt idx="13">
                  <c:v>5423921</c:v>
                </c:pt>
                <c:pt idx="14">
                  <c:v>5723460</c:v>
                </c:pt>
                <c:pt idx="15">
                  <c:v>5762492</c:v>
                </c:pt>
                <c:pt idx="16">
                  <c:v>5956205</c:v>
                </c:pt>
                <c:pt idx="17">
                  <c:v>6254458</c:v>
                </c:pt>
                <c:pt idx="18">
                  <c:v>6326617</c:v>
                </c:pt>
                <c:pt idx="19">
                  <c:v>6529721</c:v>
                </c:pt>
                <c:pt idx="20">
                  <c:v>6195983</c:v>
                </c:pt>
                <c:pt idx="21">
                  <c:v>6242167</c:v>
                </c:pt>
                <c:pt idx="22">
                  <c:v>6277426</c:v>
                </c:pt>
                <c:pt idx="23">
                  <c:v>6209956</c:v>
                </c:pt>
                <c:pt idx="24">
                  <c:v>6081264</c:v>
                </c:pt>
                <c:pt idx="25">
                  <c:v>5868986</c:v>
                </c:pt>
                <c:pt idx="26">
                  <c:v>6090830</c:v>
                </c:pt>
                <c:pt idx="27">
                  <c:v>5801714</c:v>
                </c:pt>
                <c:pt idx="28">
                  <c:v>5724965</c:v>
                </c:pt>
                <c:pt idx="29">
                  <c:v>6058077</c:v>
                </c:pt>
                <c:pt idx="30">
                  <c:v>6052843</c:v>
                </c:pt>
                <c:pt idx="31">
                  <c:v>6370061</c:v>
                </c:pt>
                <c:pt idx="32">
                  <c:v>6527111</c:v>
                </c:pt>
                <c:pt idx="33">
                  <c:v>6304298</c:v>
                </c:pt>
                <c:pt idx="34">
                  <c:v>6311721</c:v>
                </c:pt>
                <c:pt idx="35">
                  <c:v>6223098</c:v>
                </c:pt>
                <c:pt idx="36">
                  <c:v>6237932</c:v>
                </c:pt>
                <c:pt idx="37">
                  <c:v>6430075</c:v>
                </c:pt>
                <c:pt idx="38">
                  <c:v>6528091</c:v>
                </c:pt>
                <c:pt idx="39">
                  <c:v>6560468</c:v>
                </c:pt>
                <c:pt idx="40">
                  <c:v>6883169</c:v>
                </c:pt>
                <c:pt idx="41">
                  <c:v>6666768</c:v>
                </c:pt>
                <c:pt idx="42">
                  <c:v>6545006.6101973681</c:v>
                </c:pt>
                <c:pt idx="43">
                  <c:v>6506608.3637846652</c:v>
                </c:pt>
                <c:pt idx="44">
                  <c:v>6517348.1497584544</c:v>
                </c:pt>
                <c:pt idx="45">
                  <c:v>6727505.8367999997</c:v>
                </c:pt>
                <c:pt idx="46">
                  <c:v>6446015.905750799</c:v>
                </c:pt>
                <c:pt idx="47">
                  <c:v>10325368.461661343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8DF-43E0-AF35-0B26DAF48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237056"/>
        <c:axId val="222238976"/>
      </c:lineChart>
      <c:catAx>
        <c:axId val="22223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96614797979797995"/>
              <c:y val="0.9559471365638769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22238976"/>
        <c:crosses val="autoZero"/>
        <c:auto val="1"/>
        <c:lblAlgn val="ctr"/>
        <c:lblOffset val="100"/>
        <c:noMultiLvlLbl val="0"/>
      </c:catAx>
      <c:valAx>
        <c:axId val="2222389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3.0719595959595961E-2"/>
              <c:y val="6.3016021675704623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22237056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87364141414141416"/>
          <c:y val="0.28756722590292949"/>
          <c:w val="8.7694129259140857E-2"/>
          <c:h val="0.16349505685157095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図書館資料費の推移</a:t>
            </a:r>
            <a:r>
              <a:rPr lang="ja-JP" altLang="en-US" baseline="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： 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国立大学 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1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大学あたり平均額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2493737373737399E-2"/>
          <c:y val="0.100394278908969"/>
          <c:w val="0.91354797979797997"/>
          <c:h val="0.84462266005295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データシート!$C$32</c:f>
              <c:strCache>
                <c:ptCount val="1"/>
                <c:pt idx="0">
                  <c:v>図書</c:v>
                </c:pt>
              </c:strCache>
            </c:strRef>
          </c:tx>
          <c:invertIfNegative val="0"/>
          <c:cat>
            <c:strRef>
              <c:f>データシート!$D$31:$AY$31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データシート!$D$32:$AY$32</c:f>
              <c:numCache>
                <c:formatCode>#,##0_);[Red]\(#,##0\)</c:formatCode>
                <c:ptCount val="48"/>
                <c:pt idx="0">
                  <c:v>68592</c:v>
                </c:pt>
                <c:pt idx="1">
                  <c:v>76887</c:v>
                </c:pt>
                <c:pt idx="2">
                  <c:v>79102</c:v>
                </c:pt>
                <c:pt idx="3">
                  <c:v>92595</c:v>
                </c:pt>
                <c:pt idx="4">
                  <c:v>100625</c:v>
                </c:pt>
                <c:pt idx="5">
                  <c:v>107400</c:v>
                </c:pt>
                <c:pt idx="6">
                  <c:v>114404</c:v>
                </c:pt>
                <c:pt idx="7">
                  <c:v>110229</c:v>
                </c:pt>
                <c:pt idx="8">
                  <c:v>104707</c:v>
                </c:pt>
                <c:pt idx="9">
                  <c:v>105498</c:v>
                </c:pt>
                <c:pt idx="10">
                  <c:v>99294</c:v>
                </c:pt>
                <c:pt idx="11">
                  <c:v>97690</c:v>
                </c:pt>
                <c:pt idx="12">
                  <c:v>124080</c:v>
                </c:pt>
                <c:pt idx="13">
                  <c:v>101854</c:v>
                </c:pt>
                <c:pt idx="14">
                  <c:v>103267</c:v>
                </c:pt>
                <c:pt idx="15">
                  <c:v>101096</c:v>
                </c:pt>
                <c:pt idx="16">
                  <c:v>94273</c:v>
                </c:pt>
                <c:pt idx="17">
                  <c:v>93802</c:v>
                </c:pt>
                <c:pt idx="18">
                  <c:v>90825</c:v>
                </c:pt>
                <c:pt idx="19">
                  <c:v>89121</c:v>
                </c:pt>
                <c:pt idx="20">
                  <c:v>91272</c:v>
                </c:pt>
                <c:pt idx="21">
                  <c:v>92165</c:v>
                </c:pt>
                <c:pt idx="22">
                  <c:v>94625</c:v>
                </c:pt>
                <c:pt idx="23">
                  <c:v>88944</c:v>
                </c:pt>
                <c:pt idx="24">
                  <c:v>86182</c:v>
                </c:pt>
                <c:pt idx="25">
                  <c:v>82893</c:v>
                </c:pt>
                <c:pt idx="26">
                  <c:v>81183</c:v>
                </c:pt>
                <c:pt idx="27">
                  <c:v>77551</c:v>
                </c:pt>
                <c:pt idx="28">
                  <c:v>81964</c:v>
                </c:pt>
                <c:pt idx="29">
                  <c:v>70256</c:v>
                </c:pt>
                <c:pt idx="30">
                  <c:v>73965</c:v>
                </c:pt>
                <c:pt idx="31">
                  <c:v>67516</c:v>
                </c:pt>
                <c:pt idx="32">
                  <c:v>68895</c:v>
                </c:pt>
                <c:pt idx="33">
                  <c:v>67458</c:v>
                </c:pt>
                <c:pt idx="34">
                  <c:v>77158</c:v>
                </c:pt>
                <c:pt idx="35">
                  <c:v>63054</c:v>
                </c:pt>
                <c:pt idx="36">
                  <c:v>61391</c:v>
                </c:pt>
                <c:pt idx="37">
                  <c:v>58889</c:v>
                </c:pt>
                <c:pt idx="38">
                  <c:v>56712</c:v>
                </c:pt>
                <c:pt idx="39">
                  <c:v>51881</c:v>
                </c:pt>
                <c:pt idx="40">
                  <c:v>48348</c:v>
                </c:pt>
                <c:pt idx="41">
                  <c:v>41519</c:v>
                </c:pt>
                <c:pt idx="42">
                  <c:v>40520</c:v>
                </c:pt>
                <c:pt idx="43">
                  <c:v>36854</c:v>
                </c:pt>
                <c:pt idx="44">
                  <c:v>35465</c:v>
                </c:pt>
                <c:pt idx="45">
                  <c:v>35394</c:v>
                </c:pt>
                <c:pt idx="46">
                  <c:v>36811</c:v>
                </c:pt>
                <c:pt idx="47">
                  <c:v>31976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9-4875-B3E1-40323329F7D9}"/>
            </c:ext>
          </c:extLst>
        </c:ser>
        <c:ser>
          <c:idx val="3"/>
          <c:order val="1"/>
          <c:tx>
            <c:strRef>
              <c:f>データシート!$C$33</c:f>
              <c:strCache>
                <c:ptCount val="1"/>
                <c:pt idx="0">
                  <c:v>雑誌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strRef>
              <c:f>データシート!$D$31:$AY$31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データシート!$D$33:$AY$33</c:f>
              <c:numCache>
                <c:formatCode>#,##0_);[Red]\(#,##0\)</c:formatCode>
                <c:ptCount val="48"/>
                <c:pt idx="0">
                  <c:v>47496</c:v>
                </c:pt>
                <c:pt idx="1">
                  <c:v>57418</c:v>
                </c:pt>
                <c:pt idx="2">
                  <c:v>58092</c:v>
                </c:pt>
                <c:pt idx="3">
                  <c:v>60591</c:v>
                </c:pt>
                <c:pt idx="4">
                  <c:v>58141</c:v>
                </c:pt>
                <c:pt idx="5">
                  <c:v>73156</c:v>
                </c:pt>
                <c:pt idx="6">
                  <c:v>80823</c:v>
                </c:pt>
                <c:pt idx="7">
                  <c:v>87070</c:v>
                </c:pt>
                <c:pt idx="8">
                  <c:v>98166</c:v>
                </c:pt>
                <c:pt idx="9">
                  <c:v>91772</c:v>
                </c:pt>
                <c:pt idx="10">
                  <c:v>95460</c:v>
                </c:pt>
                <c:pt idx="11">
                  <c:v>97720</c:v>
                </c:pt>
                <c:pt idx="12">
                  <c:v>95132</c:v>
                </c:pt>
                <c:pt idx="13">
                  <c:v>97821</c:v>
                </c:pt>
                <c:pt idx="14">
                  <c:v>97495</c:v>
                </c:pt>
                <c:pt idx="15">
                  <c:v>106938</c:v>
                </c:pt>
                <c:pt idx="16">
                  <c:v>113218</c:v>
                </c:pt>
                <c:pt idx="17">
                  <c:v>116516</c:v>
                </c:pt>
                <c:pt idx="18">
                  <c:v>117417</c:v>
                </c:pt>
                <c:pt idx="19">
                  <c:v>108945</c:v>
                </c:pt>
                <c:pt idx="20">
                  <c:v>107300</c:v>
                </c:pt>
                <c:pt idx="21">
                  <c:v>115783</c:v>
                </c:pt>
                <c:pt idx="22">
                  <c:v>130521</c:v>
                </c:pt>
                <c:pt idx="23">
                  <c:v>140659</c:v>
                </c:pt>
                <c:pt idx="24">
                  <c:v>157066</c:v>
                </c:pt>
                <c:pt idx="25">
                  <c:v>141124</c:v>
                </c:pt>
                <c:pt idx="26">
                  <c:v>131623</c:v>
                </c:pt>
                <c:pt idx="27">
                  <c:v>142489</c:v>
                </c:pt>
                <c:pt idx="28">
                  <c:v>158159</c:v>
                </c:pt>
                <c:pt idx="29">
                  <c:v>130582</c:v>
                </c:pt>
                <c:pt idx="30">
                  <c:v>97982</c:v>
                </c:pt>
                <c:pt idx="31">
                  <c:v>89976</c:v>
                </c:pt>
                <c:pt idx="32">
                  <c:v>79331</c:v>
                </c:pt>
                <c:pt idx="33">
                  <c:v>74188</c:v>
                </c:pt>
                <c:pt idx="34">
                  <c:v>63888</c:v>
                </c:pt>
                <c:pt idx="35">
                  <c:v>56813</c:v>
                </c:pt>
                <c:pt idx="36">
                  <c:v>51835</c:v>
                </c:pt>
                <c:pt idx="37">
                  <c:v>44167</c:v>
                </c:pt>
                <c:pt idx="38">
                  <c:v>42320</c:v>
                </c:pt>
                <c:pt idx="39">
                  <c:v>44844</c:v>
                </c:pt>
                <c:pt idx="40">
                  <c:v>43526</c:v>
                </c:pt>
                <c:pt idx="41">
                  <c:v>36808</c:v>
                </c:pt>
                <c:pt idx="42">
                  <c:v>31249</c:v>
                </c:pt>
                <c:pt idx="43">
                  <c:v>28700</c:v>
                </c:pt>
                <c:pt idx="44">
                  <c:v>27584</c:v>
                </c:pt>
                <c:pt idx="45">
                  <c:v>25797</c:v>
                </c:pt>
                <c:pt idx="46">
                  <c:v>24412</c:v>
                </c:pt>
                <c:pt idx="47">
                  <c:v>24714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B9-4875-B3E1-40323329F7D9}"/>
            </c:ext>
          </c:extLst>
        </c:ser>
        <c:ser>
          <c:idx val="1"/>
          <c:order val="2"/>
          <c:tx>
            <c:strRef>
              <c:f>データシート!$C$34</c:f>
              <c:strCache>
                <c:ptCount val="1"/>
                <c:pt idx="0">
                  <c:v>電子ジャーナル</c:v>
                </c:pt>
              </c:strCache>
            </c:strRef>
          </c:tx>
          <c:invertIfNegative val="0"/>
          <c:cat>
            <c:strRef>
              <c:f>データシート!$D$31:$AY$31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データシート!$D$34:$AY$34</c:f>
              <c:numCache>
                <c:formatCode>#,##0_);[Red]\(#,##0\)</c:formatCode>
                <c:ptCount val="48"/>
                <c:pt idx="29">
                  <c:v>35327</c:v>
                </c:pt>
                <c:pt idx="30">
                  <c:v>53143</c:v>
                </c:pt>
                <c:pt idx="31">
                  <c:v>69430</c:v>
                </c:pt>
                <c:pt idx="32">
                  <c:v>86410</c:v>
                </c:pt>
                <c:pt idx="33">
                  <c:v>96794</c:v>
                </c:pt>
                <c:pt idx="34">
                  <c:v>100990</c:v>
                </c:pt>
                <c:pt idx="35">
                  <c:v>101755</c:v>
                </c:pt>
                <c:pt idx="36">
                  <c:v>102538</c:v>
                </c:pt>
                <c:pt idx="37">
                  <c:v>107845</c:v>
                </c:pt>
                <c:pt idx="38">
                  <c:v>115416</c:v>
                </c:pt>
                <c:pt idx="39">
                  <c:v>128381</c:v>
                </c:pt>
                <c:pt idx="40">
                  <c:v>138950</c:v>
                </c:pt>
                <c:pt idx="41">
                  <c:v>146958</c:v>
                </c:pt>
                <c:pt idx="42">
                  <c:v>142532</c:v>
                </c:pt>
                <c:pt idx="43">
                  <c:v>149529</c:v>
                </c:pt>
                <c:pt idx="44">
                  <c:v>151383</c:v>
                </c:pt>
                <c:pt idx="45">
                  <c:v>151247</c:v>
                </c:pt>
                <c:pt idx="46">
                  <c:v>152579</c:v>
                </c:pt>
                <c:pt idx="47">
                  <c:v>160856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B9-4875-B3E1-40323329F7D9}"/>
            </c:ext>
          </c:extLst>
        </c:ser>
        <c:ser>
          <c:idx val="2"/>
          <c:order val="3"/>
          <c:tx>
            <c:strRef>
              <c:f>データシート!$C$35</c:f>
              <c:strCache>
                <c:ptCount val="1"/>
                <c:pt idx="0">
                  <c:v>電子書籍</c:v>
                </c:pt>
              </c:strCache>
            </c:strRef>
          </c:tx>
          <c:invertIfNegative val="0"/>
          <c:cat>
            <c:strRef>
              <c:f>データシート!$D$31:$AY$31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データシート!$D$35:$AY$35</c:f>
              <c:numCache>
                <c:formatCode>#,##0_);[Red]\(#,##0\)</c:formatCode>
                <c:ptCount val="48"/>
                <c:pt idx="35">
                  <c:v>2809</c:v>
                </c:pt>
                <c:pt idx="36">
                  <c:v>2502</c:v>
                </c:pt>
                <c:pt idx="37">
                  <c:v>3418</c:v>
                </c:pt>
                <c:pt idx="38">
                  <c:v>3999</c:v>
                </c:pt>
                <c:pt idx="39">
                  <c:v>4155</c:v>
                </c:pt>
                <c:pt idx="40">
                  <c:v>4572</c:v>
                </c:pt>
                <c:pt idx="41">
                  <c:v>4025</c:v>
                </c:pt>
                <c:pt idx="42">
                  <c:v>4334</c:v>
                </c:pt>
                <c:pt idx="43">
                  <c:v>4332</c:v>
                </c:pt>
                <c:pt idx="44">
                  <c:v>5316</c:v>
                </c:pt>
                <c:pt idx="45">
                  <c:v>8787</c:v>
                </c:pt>
                <c:pt idx="46">
                  <c:v>9560</c:v>
                </c:pt>
                <c:pt idx="47">
                  <c:v>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B9-4875-B3E1-40323329F7D9}"/>
            </c:ext>
          </c:extLst>
        </c:ser>
        <c:ser>
          <c:idx val="4"/>
          <c:order val="4"/>
          <c:tx>
            <c:strRef>
              <c:f>データシート!$C$36</c:f>
              <c:strCache>
                <c:ptCount val="1"/>
                <c:pt idx="0">
                  <c:v>データベース</c:v>
                </c:pt>
              </c:strCache>
            </c:strRef>
          </c:tx>
          <c:invertIfNegative val="0"/>
          <c:cat>
            <c:strRef>
              <c:f>データシート!$D$31:$AY$31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データシート!$D$36:$AY$36</c:f>
              <c:numCache>
                <c:formatCode>#,##0_);[Red]\(#,##0\)</c:formatCode>
                <c:ptCount val="48"/>
                <c:pt idx="35">
                  <c:v>16424</c:v>
                </c:pt>
                <c:pt idx="36">
                  <c:v>17478</c:v>
                </c:pt>
                <c:pt idx="37">
                  <c:v>17714</c:v>
                </c:pt>
                <c:pt idx="38">
                  <c:v>19751</c:v>
                </c:pt>
                <c:pt idx="39">
                  <c:v>21533</c:v>
                </c:pt>
                <c:pt idx="40">
                  <c:v>23499</c:v>
                </c:pt>
                <c:pt idx="41">
                  <c:v>23547</c:v>
                </c:pt>
                <c:pt idx="42">
                  <c:v>24140</c:v>
                </c:pt>
                <c:pt idx="43">
                  <c:v>23980</c:v>
                </c:pt>
                <c:pt idx="44">
                  <c:v>25012</c:v>
                </c:pt>
                <c:pt idx="45">
                  <c:v>26280</c:v>
                </c:pt>
                <c:pt idx="46">
                  <c:v>27502</c:v>
                </c:pt>
                <c:pt idx="47">
                  <c:v>28464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B9-4875-B3E1-40323329F7D9}"/>
            </c:ext>
          </c:extLst>
        </c:ser>
        <c:ser>
          <c:idx val="5"/>
          <c:order val="5"/>
          <c:tx>
            <c:strRef>
              <c:f>データシート!$C$37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データシート!$D$31:$AY$31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データシート!$D$37:$AY$37</c:f>
              <c:numCache>
                <c:formatCode>#,##0_);[Red]\(#,##0\)</c:formatCode>
                <c:ptCount val="48"/>
                <c:pt idx="0">
                  <c:v>3601</c:v>
                </c:pt>
                <c:pt idx="1">
                  <c:v>4084</c:v>
                </c:pt>
                <c:pt idx="2">
                  <c:v>5028</c:v>
                </c:pt>
                <c:pt idx="3">
                  <c:v>7688</c:v>
                </c:pt>
                <c:pt idx="4">
                  <c:v>7703</c:v>
                </c:pt>
                <c:pt idx="5">
                  <c:v>8162</c:v>
                </c:pt>
                <c:pt idx="6">
                  <c:v>9193</c:v>
                </c:pt>
                <c:pt idx="7">
                  <c:v>10023</c:v>
                </c:pt>
                <c:pt idx="8">
                  <c:v>9378</c:v>
                </c:pt>
                <c:pt idx="9">
                  <c:v>10063</c:v>
                </c:pt>
                <c:pt idx="10">
                  <c:v>9474</c:v>
                </c:pt>
                <c:pt idx="11">
                  <c:v>10132</c:v>
                </c:pt>
                <c:pt idx="12">
                  <c:v>11431</c:v>
                </c:pt>
                <c:pt idx="13">
                  <c:v>10266</c:v>
                </c:pt>
                <c:pt idx="14">
                  <c:v>11001</c:v>
                </c:pt>
                <c:pt idx="15">
                  <c:v>10908</c:v>
                </c:pt>
                <c:pt idx="16">
                  <c:v>11747</c:v>
                </c:pt>
                <c:pt idx="17">
                  <c:v>13294</c:v>
                </c:pt>
                <c:pt idx="18">
                  <c:v>13404</c:v>
                </c:pt>
                <c:pt idx="19">
                  <c:v>14973</c:v>
                </c:pt>
                <c:pt idx="20">
                  <c:v>16500</c:v>
                </c:pt>
                <c:pt idx="21">
                  <c:v>16137</c:v>
                </c:pt>
                <c:pt idx="22">
                  <c:v>16995</c:v>
                </c:pt>
                <c:pt idx="23">
                  <c:v>16354</c:v>
                </c:pt>
                <c:pt idx="24">
                  <c:v>19447</c:v>
                </c:pt>
                <c:pt idx="25">
                  <c:v>18902</c:v>
                </c:pt>
                <c:pt idx="26">
                  <c:v>19836</c:v>
                </c:pt>
                <c:pt idx="27">
                  <c:v>20983</c:v>
                </c:pt>
                <c:pt idx="28">
                  <c:v>32588</c:v>
                </c:pt>
                <c:pt idx="29">
                  <c:v>15984</c:v>
                </c:pt>
                <c:pt idx="30">
                  <c:v>18103</c:v>
                </c:pt>
                <c:pt idx="31">
                  <c:v>16382</c:v>
                </c:pt>
                <c:pt idx="32">
                  <c:v>18013</c:v>
                </c:pt>
                <c:pt idx="33">
                  <c:v>18934</c:v>
                </c:pt>
                <c:pt idx="34">
                  <c:v>22998</c:v>
                </c:pt>
                <c:pt idx="35">
                  <c:v>6010</c:v>
                </c:pt>
                <c:pt idx="36">
                  <c:v>5807</c:v>
                </c:pt>
                <c:pt idx="37">
                  <c:v>5723</c:v>
                </c:pt>
                <c:pt idx="38">
                  <c:v>4175</c:v>
                </c:pt>
                <c:pt idx="39">
                  <c:v>4231</c:v>
                </c:pt>
                <c:pt idx="40">
                  <c:v>3774</c:v>
                </c:pt>
                <c:pt idx="41">
                  <c:v>3277</c:v>
                </c:pt>
                <c:pt idx="42">
                  <c:v>12374</c:v>
                </c:pt>
                <c:pt idx="43">
                  <c:v>3635</c:v>
                </c:pt>
                <c:pt idx="44">
                  <c:v>3435</c:v>
                </c:pt>
                <c:pt idx="45">
                  <c:v>3351</c:v>
                </c:pt>
                <c:pt idx="46">
                  <c:v>3650</c:v>
                </c:pt>
                <c:pt idx="47">
                  <c:v>3215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B9-4875-B3E1-40323329F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537920"/>
        <c:axId val="213539840"/>
      </c:barChart>
      <c:lineChart>
        <c:grouping val="standard"/>
        <c:varyColors val="0"/>
        <c:ser>
          <c:idx val="6"/>
          <c:order val="6"/>
          <c:tx>
            <c:strRef>
              <c:f>データシート!$C$39</c:f>
              <c:strCache>
                <c:ptCount val="1"/>
                <c:pt idx="0">
                  <c:v>対大学総経費比率</c:v>
                </c:pt>
              </c:strCache>
            </c:strRef>
          </c:tx>
          <c:cat>
            <c:strRef>
              <c:f>データシート!$D$31:$AY$31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データシート!$D$39:$AY$39</c:f>
              <c:numCache>
                <c:formatCode>#,##0.00_);[Red]\(#,##0.00\)</c:formatCode>
                <c:ptCount val="48"/>
                <c:pt idx="0">
                  <c:v>1.9887771918259725</c:v>
                </c:pt>
                <c:pt idx="1">
                  <c:v>2.0149970879440886</c:v>
                </c:pt>
                <c:pt idx="2">
                  <c:v>1.9368378047119705</c:v>
                </c:pt>
                <c:pt idx="3">
                  <c:v>1.8352156057494868</c:v>
                </c:pt>
                <c:pt idx="4">
                  <c:v>1.6942099092980747</c:v>
                </c:pt>
                <c:pt idx="5">
                  <c:v>1.7938705667605532</c:v>
                </c:pt>
                <c:pt idx="6">
                  <c:v>1.8346596666828516</c:v>
                </c:pt>
                <c:pt idx="7">
                  <c:v>1.7891616099951828</c:v>
                </c:pt>
                <c:pt idx="8">
                  <c:v>1.7779229699619707</c:v>
                </c:pt>
                <c:pt idx="9">
                  <c:v>1.6190350728071092</c:v>
                </c:pt>
                <c:pt idx="10">
                  <c:v>1.5385011749614561</c:v>
                </c:pt>
                <c:pt idx="11">
                  <c:v>1.5074344235003174</c:v>
                </c:pt>
                <c:pt idx="12">
                  <c:v>1.5092818250712505</c:v>
                </c:pt>
                <c:pt idx="13">
                  <c:v>1.40774870980452</c:v>
                </c:pt>
                <c:pt idx="14">
                  <c:v>1.3842362628954648</c:v>
                </c:pt>
                <c:pt idx="15">
                  <c:v>1.4038643812967013</c:v>
                </c:pt>
                <c:pt idx="16">
                  <c:v>1.3419620246501158</c:v>
                </c:pt>
                <c:pt idx="17">
                  <c:v>1.2917419372131573</c:v>
                </c:pt>
                <c:pt idx="18">
                  <c:v>1.1427096944492634</c:v>
                </c:pt>
                <c:pt idx="19">
                  <c:v>1.1650564760277731</c:v>
                </c:pt>
                <c:pt idx="20">
                  <c:v>1.1020364452110001</c:v>
                </c:pt>
                <c:pt idx="21">
                  <c:v>1.1485092126341652</c:v>
                </c:pt>
                <c:pt idx="22">
                  <c:v>1.247727829708682</c:v>
                </c:pt>
                <c:pt idx="23">
                  <c:v>1.1797823439072943</c:v>
                </c:pt>
                <c:pt idx="24">
                  <c:v>1.2704032043327977</c:v>
                </c:pt>
                <c:pt idx="25">
                  <c:v>1.1805403652721229</c:v>
                </c:pt>
                <c:pt idx="26">
                  <c:v>1.1491286919220562</c:v>
                </c:pt>
                <c:pt idx="27">
                  <c:v>1.1414288624753042</c:v>
                </c:pt>
                <c:pt idx="28">
                  <c:v>1.1467520619784608</c:v>
                </c:pt>
                <c:pt idx="29">
                  <c:v>1.0226784043492985</c:v>
                </c:pt>
                <c:pt idx="30">
                  <c:v>0.84721220318893298</c:v>
                </c:pt>
                <c:pt idx="31">
                  <c:v>0.93968755638828261</c:v>
                </c:pt>
                <c:pt idx="32">
                  <c:v>0.94268585658914272</c:v>
                </c:pt>
                <c:pt idx="33">
                  <c:v>0.92508697951928687</c:v>
                </c:pt>
                <c:pt idx="34">
                  <c:v>0.88845092573593598</c:v>
                </c:pt>
                <c:pt idx="35">
                  <c:v>0.87890726176190537</c:v>
                </c:pt>
                <c:pt idx="36">
                  <c:v>0.81947886664449732</c:v>
                </c:pt>
                <c:pt idx="37">
                  <c:v>0.83291898455876012</c:v>
                </c:pt>
                <c:pt idx="38">
                  <c:v>0.79913251492036808</c:v>
                </c:pt>
                <c:pt idx="39">
                  <c:v>0.80039597982928312</c:v>
                </c:pt>
                <c:pt idx="40">
                  <c:v>0.84353266733341803</c:v>
                </c:pt>
                <c:pt idx="41">
                  <c:v>0.82971064726332244</c:v>
                </c:pt>
                <c:pt idx="42" formatCode="#,##0.000;[Red]\-#,##0.000">
                  <c:v>0.81530679576503595</c:v>
                </c:pt>
                <c:pt idx="43" formatCode="#,##0.000;[Red]\-#,##0.000">
                  <c:v>0.7820970897638706</c:v>
                </c:pt>
                <c:pt idx="44" formatCode="#,##0.000;[Red]\-#,##0.000">
                  <c:v>0.77079494189830478</c:v>
                </c:pt>
                <c:pt idx="45" formatCode="#,##0.000;[Red]\-#,##0.000">
                  <c:v>0.77689994603859558</c:v>
                </c:pt>
                <c:pt idx="46" formatCode="#,##0.000;[Red]\-#,##0.000">
                  <c:v>0.74965297509358975</c:v>
                </c:pt>
                <c:pt idx="47" formatCode="#,##0.000;[Red]\-#,##0.000">
                  <c:v>0.74420083357565714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FB9-4875-B3E1-40323329F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48032"/>
        <c:axId val="213546496"/>
      </c:lineChart>
      <c:catAx>
        <c:axId val="21353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95331969696969698"/>
              <c:y val="0.9559471365638769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13539840"/>
        <c:crosses val="autoZero"/>
        <c:auto val="1"/>
        <c:lblAlgn val="ctr"/>
        <c:lblOffset val="100"/>
        <c:noMultiLvlLbl val="0"/>
      </c:catAx>
      <c:valAx>
        <c:axId val="213539840"/>
        <c:scaling>
          <c:orientation val="minMax"/>
          <c:max val="32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3.58509090909091E-2"/>
              <c:y val="6.4973926717310101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13537920"/>
        <c:crosses val="autoZero"/>
        <c:crossBetween val="between"/>
        <c:majorUnit val="20000"/>
        <c:dispUnits>
          <c:builtInUnit val="thousands"/>
        </c:dispUnits>
      </c:valAx>
      <c:valAx>
        <c:axId val="213546496"/>
        <c:scaling>
          <c:orientation val="minMax"/>
          <c:max val="2.2000000000000002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1200" b="0"/>
                </a:pPr>
                <a:r>
                  <a:rPr lang="en-US" altLang="ja-JP" sz="1200" b="0"/>
                  <a:t>%</a:t>
                </a:r>
                <a:endParaRPr lang="ja-JP" altLang="en-US" sz="1200" b="0"/>
              </a:p>
            </c:rich>
          </c:tx>
          <c:layout>
            <c:manualLayout>
              <c:xMode val="edge"/>
              <c:yMode val="edge"/>
              <c:x val="0.94703202020202015"/>
              <c:y val="6.5334057912364477E-2"/>
            </c:manualLayout>
          </c:layout>
          <c:overlay val="0"/>
        </c:title>
        <c:numFmt formatCode="#,##0.0;[Red]\-#,##0.0" sourceLinked="0"/>
        <c:majorTickMark val="out"/>
        <c:minorTickMark val="none"/>
        <c:tickLblPos val="nextTo"/>
        <c:crossAx val="213548032"/>
        <c:crosses val="max"/>
        <c:crossBetween val="between"/>
        <c:majorUnit val="0.2"/>
      </c:valAx>
      <c:catAx>
        <c:axId val="21354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35464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496582121341597"/>
          <c:y val="4.7968673519334318E-3"/>
          <c:w val="0.14730691612690958"/>
          <c:h val="0.24268232990699951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図書館資料費の推移</a:t>
            </a:r>
            <a:r>
              <a:rPr lang="ja-JP" altLang="en-US" baseline="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： 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国立大学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A(8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学部以上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)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1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大学あたり平均額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9928080808080801E-2"/>
          <c:y val="0.11409961420020737"/>
          <c:w val="0.93407323232323303"/>
          <c:h val="0.830917324761717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データシート!$C$51</c:f>
              <c:strCache>
                <c:ptCount val="1"/>
                <c:pt idx="0">
                  <c:v>図書</c:v>
                </c:pt>
              </c:strCache>
            </c:strRef>
          </c:tx>
          <c:invertIfNegative val="0"/>
          <c:cat>
            <c:strRef>
              <c:f>データシート!$D$50:$AY$50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データシート!$D$51:$AY$51</c:f>
              <c:numCache>
                <c:formatCode>#,##0_);[Red]\(#,##0\)</c:formatCode>
                <c:ptCount val="48"/>
                <c:pt idx="0">
                  <c:v>239823.5</c:v>
                </c:pt>
                <c:pt idx="1">
                  <c:v>253507.9</c:v>
                </c:pt>
                <c:pt idx="2">
                  <c:v>258575.45454545456</c:v>
                </c:pt>
                <c:pt idx="3">
                  <c:v>286383.5</c:v>
                </c:pt>
                <c:pt idx="4">
                  <c:v>287283.73333333334</c:v>
                </c:pt>
                <c:pt idx="5">
                  <c:v>310595.13333333336</c:v>
                </c:pt>
                <c:pt idx="6">
                  <c:v>331193.26666666666</c:v>
                </c:pt>
                <c:pt idx="7">
                  <c:v>328663.53333333333</c:v>
                </c:pt>
                <c:pt idx="8">
                  <c:v>318772.93333333335</c:v>
                </c:pt>
                <c:pt idx="9">
                  <c:v>336553.46666666667</c:v>
                </c:pt>
                <c:pt idx="10">
                  <c:v>318046.26666666666</c:v>
                </c:pt>
                <c:pt idx="11">
                  <c:v>305171.46666666667</c:v>
                </c:pt>
                <c:pt idx="12">
                  <c:v>423805</c:v>
                </c:pt>
                <c:pt idx="13">
                  <c:v>313476.33333333331</c:v>
                </c:pt>
                <c:pt idx="14">
                  <c:v>316351.13333333336</c:v>
                </c:pt>
                <c:pt idx="15">
                  <c:v>313027.40000000002</c:v>
                </c:pt>
                <c:pt idx="16">
                  <c:v>295190.2</c:v>
                </c:pt>
                <c:pt idx="17">
                  <c:v>287219.86666666664</c:v>
                </c:pt>
                <c:pt idx="18">
                  <c:v>279037.59999999998</c:v>
                </c:pt>
                <c:pt idx="19">
                  <c:v>277164.46666666667</c:v>
                </c:pt>
                <c:pt idx="20">
                  <c:v>287059.46666666667</c:v>
                </c:pt>
                <c:pt idx="21">
                  <c:v>297008.2</c:v>
                </c:pt>
                <c:pt idx="22">
                  <c:v>294460.625</c:v>
                </c:pt>
                <c:pt idx="23">
                  <c:v>268540.1875</c:v>
                </c:pt>
                <c:pt idx="24">
                  <c:v>271089.125</c:v>
                </c:pt>
                <c:pt idx="25">
                  <c:v>258460.5</c:v>
                </c:pt>
                <c:pt idx="26">
                  <c:v>257258.5</c:v>
                </c:pt>
                <c:pt idx="27">
                  <c:v>242229.4375</c:v>
                </c:pt>
                <c:pt idx="28">
                  <c:v>239081.625</c:v>
                </c:pt>
                <c:pt idx="29">
                  <c:v>211825.9375</c:v>
                </c:pt>
                <c:pt idx="30">
                  <c:v>227097.23529411765</c:v>
                </c:pt>
                <c:pt idx="31">
                  <c:v>200477.11111111112</c:v>
                </c:pt>
                <c:pt idx="32">
                  <c:v>206988.5</c:v>
                </c:pt>
                <c:pt idx="33">
                  <c:v>198232.11111111112</c:v>
                </c:pt>
                <c:pt idx="34">
                  <c:v>230183.66666666666</c:v>
                </c:pt>
                <c:pt idx="35">
                  <c:v>188251.22222222222</c:v>
                </c:pt>
                <c:pt idx="36">
                  <c:v>173062.42105263157</c:v>
                </c:pt>
                <c:pt idx="37">
                  <c:v>167664.63157894736</c:v>
                </c:pt>
                <c:pt idx="38">
                  <c:v>167377.57894736843</c:v>
                </c:pt>
                <c:pt idx="39">
                  <c:v>152686.36842105264</c:v>
                </c:pt>
                <c:pt idx="40">
                  <c:v>141710.84210526315</c:v>
                </c:pt>
                <c:pt idx="41">
                  <c:v>123160</c:v>
                </c:pt>
                <c:pt idx="42">
                  <c:v>117352</c:v>
                </c:pt>
                <c:pt idx="43">
                  <c:v>105468</c:v>
                </c:pt>
                <c:pt idx="44">
                  <c:v>101983</c:v>
                </c:pt>
                <c:pt idx="45">
                  <c:v>104383</c:v>
                </c:pt>
                <c:pt idx="46">
                  <c:v>108472</c:v>
                </c:pt>
                <c:pt idx="47">
                  <c:v>93549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C-49FE-84E4-DCE66A37B694}"/>
            </c:ext>
          </c:extLst>
        </c:ser>
        <c:ser>
          <c:idx val="3"/>
          <c:order val="1"/>
          <c:tx>
            <c:strRef>
              <c:f>データシート!$C$52</c:f>
              <c:strCache>
                <c:ptCount val="1"/>
                <c:pt idx="0">
                  <c:v>雑誌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strRef>
              <c:f>データシート!$D$50:$AY$50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データシート!$D$52:$AY$52</c:f>
              <c:numCache>
                <c:formatCode>#,##0_);[Red]\(#,##0\)</c:formatCode>
                <c:ptCount val="48"/>
                <c:pt idx="0">
                  <c:v>183808.3</c:v>
                </c:pt>
                <c:pt idx="1">
                  <c:v>209984.2</c:v>
                </c:pt>
                <c:pt idx="2">
                  <c:v>215882.45454545456</c:v>
                </c:pt>
                <c:pt idx="3">
                  <c:v>209448.16666666666</c:v>
                </c:pt>
                <c:pt idx="4">
                  <c:v>182123.86666666667</c:v>
                </c:pt>
                <c:pt idx="5">
                  <c:v>232081.93333333332</c:v>
                </c:pt>
                <c:pt idx="6">
                  <c:v>257933.46666666667</c:v>
                </c:pt>
                <c:pt idx="7">
                  <c:v>278702.93333333335</c:v>
                </c:pt>
                <c:pt idx="8">
                  <c:v>315205.86666666664</c:v>
                </c:pt>
                <c:pt idx="9">
                  <c:v>304297.46666666667</c:v>
                </c:pt>
                <c:pt idx="10">
                  <c:v>311087.13333333336</c:v>
                </c:pt>
                <c:pt idx="11">
                  <c:v>318596.26666666666</c:v>
                </c:pt>
                <c:pt idx="12">
                  <c:v>310437.46666666667</c:v>
                </c:pt>
                <c:pt idx="13">
                  <c:v>318722.53333333333</c:v>
                </c:pt>
                <c:pt idx="14">
                  <c:v>325123</c:v>
                </c:pt>
                <c:pt idx="15">
                  <c:v>360848.2</c:v>
                </c:pt>
                <c:pt idx="16">
                  <c:v>377599.93333333335</c:v>
                </c:pt>
                <c:pt idx="17">
                  <c:v>386830.06666666665</c:v>
                </c:pt>
                <c:pt idx="18">
                  <c:v>389819.46666666667</c:v>
                </c:pt>
                <c:pt idx="19">
                  <c:v>358556.6</c:v>
                </c:pt>
                <c:pt idx="20">
                  <c:v>350324.8</c:v>
                </c:pt>
                <c:pt idx="21">
                  <c:v>378251.66666666669</c:v>
                </c:pt>
                <c:pt idx="22">
                  <c:v>409571.625</c:v>
                </c:pt>
                <c:pt idx="23">
                  <c:v>443573.6875</c:v>
                </c:pt>
                <c:pt idx="24">
                  <c:v>518471.625</c:v>
                </c:pt>
                <c:pt idx="25">
                  <c:v>452900.125</c:v>
                </c:pt>
                <c:pt idx="26">
                  <c:v>424162.75</c:v>
                </c:pt>
                <c:pt idx="27">
                  <c:v>451561.6875</c:v>
                </c:pt>
                <c:pt idx="28">
                  <c:v>446727.625</c:v>
                </c:pt>
                <c:pt idx="29">
                  <c:v>363152.6875</c:v>
                </c:pt>
                <c:pt idx="30">
                  <c:v>241259.29411764705</c:v>
                </c:pt>
                <c:pt idx="31">
                  <c:v>255117.55555555556</c:v>
                </c:pt>
                <c:pt idx="32">
                  <c:v>225864.83333333334</c:v>
                </c:pt>
                <c:pt idx="33">
                  <c:v>212422</c:v>
                </c:pt>
                <c:pt idx="34">
                  <c:v>186839.16666666666</c:v>
                </c:pt>
                <c:pt idx="35">
                  <c:v>168265</c:v>
                </c:pt>
                <c:pt idx="36">
                  <c:v>148736.52631578947</c:v>
                </c:pt>
                <c:pt idx="37">
                  <c:v>122142.05263157895</c:v>
                </c:pt>
                <c:pt idx="38">
                  <c:v>119070.36842105263</c:v>
                </c:pt>
                <c:pt idx="39">
                  <c:v>131466.89473684211</c:v>
                </c:pt>
                <c:pt idx="40">
                  <c:v>130632.63157894737</c:v>
                </c:pt>
                <c:pt idx="41">
                  <c:v>107712</c:v>
                </c:pt>
                <c:pt idx="42">
                  <c:v>88347</c:v>
                </c:pt>
                <c:pt idx="43">
                  <c:v>84237</c:v>
                </c:pt>
                <c:pt idx="44">
                  <c:v>80528</c:v>
                </c:pt>
                <c:pt idx="45">
                  <c:v>75102</c:v>
                </c:pt>
                <c:pt idx="46">
                  <c:v>72129</c:v>
                </c:pt>
                <c:pt idx="47">
                  <c:v>73065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9C-49FE-84E4-DCE66A37B694}"/>
            </c:ext>
          </c:extLst>
        </c:ser>
        <c:ser>
          <c:idx val="1"/>
          <c:order val="2"/>
          <c:tx>
            <c:strRef>
              <c:f>データシート!$C$53</c:f>
              <c:strCache>
                <c:ptCount val="1"/>
                <c:pt idx="0">
                  <c:v>電子ジャーナル</c:v>
                </c:pt>
              </c:strCache>
            </c:strRef>
          </c:tx>
          <c:invertIfNegative val="0"/>
          <c:cat>
            <c:strRef>
              <c:f>データシート!$D$50:$AY$50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データシート!$D$53:$AY$53</c:f>
              <c:numCache>
                <c:formatCode>#,##0_);[Red]\(#,##0\)</c:formatCode>
                <c:ptCount val="48"/>
                <c:pt idx="29">
                  <c:v>125672.25</c:v>
                </c:pt>
                <c:pt idx="30">
                  <c:v>180572.82352941178</c:v>
                </c:pt>
                <c:pt idx="31">
                  <c:v>206618.5</c:v>
                </c:pt>
                <c:pt idx="32">
                  <c:v>258719.33333333334</c:v>
                </c:pt>
                <c:pt idx="33">
                  <c:v>282049.22222222225</c:v>
                </c:pt>
                <c:pt idx="34">
                  <c:v>286703.55555555556</c:v>
                </c:pt>
                <c:pt idx="35">
                  <c:v>290758.61111111112</c:v>
                </c:pt>
                <c:pt idx="36">
                  <c:v>279172.94736842107</c:v>
                </c:pt>
                <c:pt idx="37">
                  <c:v>298699.15789473685</c:v>
                </c:pt>
                <c:pt idx="38">
                  <c:v>323596</c:v>
                </c:pt>
                <c:pt idx="39">
                  <c:v>358301.10526315792</c:v>
                </c:pt>
                <c:pt idx="40">
                  <c:v>385062.15789473685</c:v>
                </c:pt>
                <c:pt idx="41">
                  <c:v>410404</c:v>
                </c:pt>
                <c:pt idx="42">
                  <c:v>385374</c:v>
                </c:pt>
                <c:pt idx="43">
                  <c:v>406906</c:v>
                </c:pt>
                <c:pt idx="44">
                  <c:v>414790</c:v>
                </c:pt>
                <c:pt idx="45">
                  <c:v>413001</c:v>
                </c:pt>
                <c:pt idx="46">
                  <c:v>418890</c:v>
                </c:pt>
                <c:pt idx="47">
                  <c:v>442625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9C-49FE-84E4-DCE66A37B694}"/>
            </c:ext>
          </c:extLst>
        </c:ser>
        <c:ser>
          <c:idx val="2"/>
          <c:order val="3"/>
          <c:tx>
            <c:strRef>
              <c:f>データシート!$C$54</c:f>
              <c:strCache>
                <c:ptCount val="1"/>
                <c:pt idx="0">
                  <c:v>電子書籍</c:v>
                </c:pt>
              </c:strCache>
            </c:strRef>
          </c:tx>
          <c:invertIfNegative val="0"/>
          <c:cat>
            <c:strRef>
              <c:f>データシート!$D$50:$AY$50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データシート!$D$54:$AY$54</c:f>
              <c:numCache>
                <c:formatCode>#,##0_);[Red]\(#,##0\)</c:formatCode>
                <c:ptCount val="48"/>
                <c:pt idx="35">
                  <c:v>6757.4444444444443</c:v>
                </c:pt>
                <c:pt idx="36">
                  <c:v>6037.105263157895</c:v>
                </c:pt>
                <c:pt idx="37">
                  <c:v>9213.9473684210534</c:v>
                </c:pt>
                <c:pt idx="38">
                  <c:v>11438.578947368422</c:v>
                </c:pt>
                <c:pt idx="39">
                  <c:v>13788.736842105263</c:v>
                </c:pt>
                <c:pt idx="40">
                  <c:v>12683.21052631579</c:v>
                </c:pt>
                <c:pt idx="41">
                  <c:v>10708</c:v>
                </c:pt>
                <c:pt idx="42">
                  <c:v>12624</c:v>
                </c:pt>
                <c:pt idx="43">
                  <c:v>12275</c:v>
                </c:pt>
                <c:pt idx="44">
                  <c:v>14712</c:v>
                </c:pt>
                <c:pt idx="45">
                  <c:v>23817</c:v>
                </c:pt>
                <c:pt idx="46">
                  <c:v>24818</c:v>
                </c:pt>
                <c:pt idx="47">
                  <c:v>16246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9C-49FE-84E4-DCE66A37B694}"/>
            </c:ext>
          </c:extLst>
        </c:ser>
        <c:ser>
          <c:idx val="4"/>
          <c:order val="4"/>
          <c:tx>
            <c:strRef>
              <c:f>データシート!$C$55</c:f>
              <c:strCache>
                <c:ptCount val="1"/>
                <c:pt idx="0">
                  <c:v>データベース</c:v>
                </c:pt>
              </c:strCache>
            </c:strRef>
          </c:tx>
          <c:invertIfNegative val="0"/>
          <c:cat>
            <c:strRef>
              <c:f>データシート!$D$50:$AY$50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データシート!$D$55:$AY$55</c:f>
              <c:numCache>
                <c:formatCode>#,##0_);[Red]\(#,##0\)</c:formatCode>
                <c:ptCount val="48"/>
                <c:pt idx="35">
                  <c:v>42322.777777777781</c:v>
                </c:pt>
                <c:pt idx="36">
                  <c:v>45196.947368421053</c:v>
                </c:pt>
                <c:pt idx="37">
                  <c:v>43895.473684210527</c:v>
                </c:pt>
                <c:pt idx="38">
                  <c:v>50224.26315789474</c:v>
                </c:pt>
                <c:pt idx="39">
                  <c:v>55747.368421052633</c:v>
                </c:pt>
                <c:pt idx="40">
                  <c:v>62470.789473684214</c:v>
                </c:pt>
                <c:pt idx="41">
                  <c:v>60502</c:v>
                </c:pt>
                <c:pt idx="42">
                  <c:v>61699</c:v>
                </c:pt>
                <c:pt idx="43">
                  <c:v>60444</c:v>
                </c:pt>
                <c:pt idx="44">
                  <c:v>63399</c:v>
                </c:pt>
                <c:pt idx="45">
                  <c:v>67668</c:v>
                </c:pt>
                <c:pt idx="46">
                  <c:v>72053</c:v>
                </c:pt>
                <c:pt idx="47">
                  <c:v>73784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E9C-49FE-84E4-DCE66A37B694}"/>
            </c:ext>
          </c:extLst>
        </c:ser>
        <c:ser>
          <c:idx val="5"/>
          <c:order val="5"/>
          <c:tx>
            <c:strRef>
              <c:f>データシート!$C$56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データシート!$D$50:$AY$50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データシート!$D$56:$AY$56</c:f>
              <c:numCache>
                <c:formatCode>#,##0_);[Red]\(#,##0\)</c:formatCode>
                <c:ptCount val="48"/>
                <c:pt idx="0">
                  <c:v>14254.7</c:v>
                </c:pt>
                <c:pt idx="1">
                  <c:v>15956.9</c:v>
                </c:pt>
                <c:pt idx="2">
                  <c:v>18564.272727272728</c:v>
                </c:pt>
                <c:pt idx="3">
                  <c:v>31761.083333333332</c:v>
                </c:pt>
                <c:pt idx="4">
                  <c:v>30101.4</c:v>
                </c:pt>
                <c:pt idx="5">
                  <c:v>32172.333333333332</c:v>
                </c:pt>
                <c:pt idx="6">
                  <c:v>35734.6</c:v>
                </c:pt>
                <c:pt idx="7">
                  <c:v>37213.666666666664</c:v>
                </c:pt>
                <c:pt idx="8">
                  <c:v>32330.933333333334</c:v>
                </c:pt>
                <c:pt idx="9">
                  <c:v>37538.333333333336</c:v>
                </c:pt>
                <c:pt idx="10">
                  <c:v>35869.866666666669</c:v>
                </c:pt>
                <c:pt idx="11">
                  <c:v>36159.599999999999</c:v>
                </c:pt>
                <c:pt idx="12">
                  <c:v>41704.73333333333</c:v>
                </c:pt>
                <c:pt idx="13">
                  <c:v>34441.933333333334</c:v>
                </c:pt>
                <c:pt idx="14">
                  <c:v>38707.73333333333</c:v>
                </c:pt>
                <c:pt idx="15">
                  <c:v>38687</c:v>
                </c:pt>
                <c:pt idx="16">
                  <c:v>42624.800000000003</c:v>
                </c:pt>
                <c:pt idx="17">
                  <c:v>48769.933333333334</c:v>
                </c:pt>
                <c:pt idx="18">
                  <c:v>48763.866666666669</c:v>
                </c:pt>
                <c:pt idx="19">
                  <c:v>50194.133333333331</c:v>
                </c:pt>
                <c:pt idx="20">
                  <c:v>57891.933333333334</c:v>
                </c:pt>
                <c:pt idx="21">
                  <c:v>50657.8</c:v>
                </c:pt>
                <c:pt idx="22">
                  <c:v>49835.5</c:v>
                </c:pt>
                <c:pt idx="23">
                  <c:v>49723.125</c:v>
                </c:pt>
                <c:pt idx="24">
                  <c:v>63288.0625</c:v>
                </c:pt>
                <c:pt idx="25">
                  <c:v>61671.375</c:v>
                </c:pt>
                <c:pt idx="26">
                  <c:v>66644.9375</c:v>
                </c:pt>
                <c:pt idx="27">
                  <c:v>64800.375</c:v>
                </c:pt>
                <c:pt idx="28">
                  <c:v>106278.5625</c:v>
                </c:pt>
                <c:pt idx="29">
                  <c:v>44306.5625</c:v>
                </c:pt>
                <c:pt idx="30">
                  <c:v>45401.882352941175</c:v>
                </c:pt>
                <c:pt idx="31">
                  <c:v>39708.944444444445</c:v>
                </c:pt>
                <c:pt idx="32">
                  <c:v>46347.111111111109</c:v>
                </c:pt>
                <c:pt idx="33">
                  <c:v>47516.222222222219</c:v>
                </c:pt>
                <c:pt idx="34">
                  <c:v>58271.388888888891</c:v>
                </c:pt>
                <c:pt idx="35">
                  <c:v>12574.611111111111</c:v>
                </c:pt>
                <c:pt idx="36">
                  <c:v>12548.947368421053</c:v>
                </c:pt>
                <c:pt idx="37">
                  <c:v>15807.157894736842</c:v>
                </c:pt>
                <c:pt idx="38">
                  <c:v>9974.6315789473683</c:v>
                </c:pt>
                <c:pt idx="39">
                  <c:v>10740.526315789473</c:v>
                </c:pt>
                <c:pt idx="40">
                  <c:v>9161.3684210526317</c:v>
                </c:pt>
                <c:pt idx="41">
                  <c:v>8276</c:v>
                </c:pt>
                <c:pt idx="42">
                  <c:v>7195</c:v>
                </c:pt>
                <c:pt idx="43">
                  <c:v>8894</c:v>
                </c:pt>
                <c:pt idx="44">
                  <c:v>8153</c:v>
                </c:pt>
                <c:pt idx="45">
                  <c:v>8827</c:v>
                </c:pt>
                <c:pt idx="46">
                  <c:v>10642</c:v>
                </c:pt>
                <c:pt idx="47">
                  <c:v>8713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9C-49FE-84E4-DCE66A37B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636608"/>
        <c:axId val="213638528"/>
      </c:barChart>
      <c:lineChart>
        <c:grouping val="standard"/>
        <c:varyColors val="0"/>
        <c:ser>
          <c:idx val="6"/>
          <c:order val="6"/>
          <c:tx>
            <c:strRef>
              <c:f>データシート!$C$58</c:f>
              <c:strCache>
                <c:ptCount val="1"/>
                <c:pt idx="0">
                  <c:v>対大学総経費比率</c:v>
                </c:pt>
              </c:strCache>
            </c:strRef>
          </c:tx>
          <c:cat>
            <c:strRef>
              <c:f>データシート!$D$50:$AY$50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データシート!$D$58:$AY$58</c:f>
              <c:numCache>
                <c:formatCode>#,##0.00_);[Red]\(#,##0.00\)</c:formatCode>
                <c:ptCount val="48"/>
                <c:pt idx="0">
                  <c:v>1.9444165682365167</c:v>
                </c:pt>
                <c:pt idx="1">
                  <c:v>1.9263954291959307</c:v>
                </c:pt>
                <c:pt idx="2">
                  <c:v>1.852719682424723</c:v>
                </c:pt>
                <c:pt idx="3">
                  <c:v>1.8940740563455283</c:v>
                </c:pt>
                <c:pt idx="4">
                  <c:v>1.6322890066358711</c:v>
                </c:pt>
                <c:pt idx="5">
                  <c:v>1.747043626399827</c:v>
                </c:pt>
                <c:pt idx="6">
                  <c:v>1.870245445760325</c:v>
                </c:pt>
                <c:pt idx="7">
                  <c:v>1.8149080980693788</c:v>
                </c:pt>
                <c:pt idx="8">
                  <c:v>1.8325381113587502</c:v>
                </c:pt>
                <c:pt idx="9">
                  <c:v>1.7199885207204639</c:v>
                </c:pt>
                <c:pt idx="10">
                  <c:v>1.6121663381580751</c:v>
                </c:pt>
                <c:pt idx="11">
                  <c:v>1.5283233231954507</c:v>
                </c:pt>
                <c:pt idx="12">
                  <c:v>1.6094629920596428</c:v>
                </c:pt>
                <c:pt idx="13">
                  <c:v>1.422355228849187</c:v>
                </c:pt>
                <c:pt idx="14">
                  <c:v>1.4212566383025007</c:v>
                </c:pt>
                <c:pt idx="15">
                  <c:v>1.4382882549386315</c:v>
                </c:pt>
                <c:pt idx="16">
                  <c:v>1.3912640659147371</c:v>
                </c:pt>
                <c:pt idx="17">
                  <c:v>1.3069821172693024</c:v>
                </c:pt>
                <c:pt idx="18">
                  <c:v>1.2376301787945634</c:v>
                </c:pt>
                <c:pt idx="19">
                  <c:v>1.2150821920848363</c:v>
                </c:pt>
                <c:pt idx="20">
                  <c:v>1.137564408083992</c:v>
                </c:pt>
                <c:pt idx="21">
                  <c:v>1.1786131249806606</c:v>
                </c:pt>
                <c:pt idx="22">
                  <c:v>1.2638480975017952</c:v>
                </c:pt>
                <c:pt idx="23">
                  <c:v>1.1898083755319986</c:v>
                </c:pt>
                <c:pt idx="24">
                  <c:v>1.3608015393106561</c:v>
                </c:pt>
                <c:pt idx="25">
                  <c:v>1.2143429919837132</c:v>
                </c:pt>
                <c:pt idx="26">
                  <c:v>1.1761279565959766</c:v>
                </c:pt>
                <c:pt idx="27">
                  <c:v>1.1659785286744255</c:v>
                </c:pt>
                <c:pt idx="28">
                  <c:v>1.1902583805513003</c:v>
                </c:pt>
                <c:pt idx="29">
                  <c:v>1.1322805104926417</c:v>
                </c:pt>
                <c:pt idx="30">
                  <c:v>0.90184435648725181</c:v>
                </c:pt>
                <c:pt idx="31">
                  <c:v>1.037102673744873</c:v>
                </c:pt>
                <c:pt idx="32">
                  <c:v>1.0743905477468323</c:v>
                </c:pt>
                <c:pt idx="33">
                  <c:v>1.0337589324000664</c:v>
                </c:pt>
                <c:pt idx="34">
                  <c:v>0.99962669343886013</c:v>
                </c:pt>
                <c:pt idx="35">
                  <c:v>0.96584105471460435</c:v>
                </c:pt>
                <c:pt idx="36">
                  <c:v>0.87796191149728497</c:v>
                </c:pt>
                <c:pt idx="37">
                  <c:v>0.92110975172181719</c:v>
                </c:pt>
                <c:pt idx="38">
                  <c:v>0.87089815695046802</c:v>
                </c:pt>
                <c:pt idx="39">
                  <c:v>0.87612907716927335</c:v>
                </c:pt>
                <c:pt idx="40">
                  <c:v>0.93622813202927668</c:v>
                </c:pt>
                <c:pt idx="41">
                  <c:v>0.9222399645545144</c:v>
                </c:pt>
                <c:pt idx="42" formatCode="#,##0.000;[Red]\-#,##0.000">
                  <c:v>0.86845551032597701</c:v>
                </c:pt>
                <c:pt idx="43" formatCode="#,##0.000;[Red]\-#,##0.000">
                  <c:v>0.87537873221986751</c:v>
                </c:pt>
                <c:pt idx="44" formatCode="#,##0.000;[Red]\-#,##0.000">
                  <c:v>0.86950499024237227</c:v>
                </c:pt>
                <c:pt idx="45" formatCode="#,##0.000;[Red]\-#,##0.000">
                  <c:v>0.88076439474127688</c:v>
                </c:pt>
                <c:pt idx="46" formatCode="#,##0.000;[Red]\-#,##0.000">
                  <c:v>0.84531072521340511</c:v>
                </c:pt>
                <c:pt idx="47" formatCode="#,##0.000;[Red]\-#,##0.000">
                  <c:v>0.83391217693523978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E9C-49FE-84E4-DCE66A37B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19816"/>
        <c:axId val="554423424"/>
      </c:lineChart>
      <c:catAx>
        <c:axId val="21363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96614797979797995"/>
              <c:y val="0.9559471365638769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13638528"/>
        <c:crosses val="autoZero"/>
        <c:auto val="1"/>
        <c:lblAlgn val="ctr"/>
        <c:lblOffset val="100"/>
        <c:noMultiLvlLbl val="0"/>
      </c:catAx>
      <c:valAx>
        <c:axId val="213638528"/>
        <c:scaling>
          <c:orientation val="minMax"/>
          <c:max val="10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3.2002400987665366E-2"/>
              <c:y val="7.4763451925337523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13636608"/>
        <c:crosses val="autoZero"/>
        <c:crossBetween val="between"/>
        <c:dispUnits>
          <c:builtInUnit val="thousands"/>
        </c:dispUnits>
      </c:valAx>
      <c:valAx>
        <c:axId val="554423424"/>
        <c:scaling>
          <c:orientation val="minMax"/>
        </c:scaling>
        <c:delete val="0"/>
        <c:axPos val="r"/>
        <c:numFmt formatCode="#,##0.0;[Red]\-#,##0.0" sourceLinked="0"/>
        <c:majorTickMark val="out"/>
        <c:minorTickMark val="none"/>
        <c:tickLblPos val="nextTo"/>
        <c:crossAx val="554419816"/>
        <c:crosses val="max"/>
        <c:crossBetween val="between"/>
      </c:valAx>
      <c:catAx>
        <c:axId val="5544198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％</a:t>
                </a:r>
              </a:p>
            </c:rich>
          </c:tx>
          <c:layout>
            <c:manualLayout>
              <c:xMode val="edge"/>
              <c:yMode val="edge"/>
              <c:x val="0.96164728570780489"/>
              <c:y val="7.391091532060695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544234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2674830365180063"/>
          <c:y val="3.498763997184369E-2"/>
          <c:w val="0.13013898788011974"/>
          <c:h val="0.2857562408223201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図書館資料費の推移</a:t>
            </a:r>
            <a:r>
              <a:rPr lang="ja-JP" altLang="en-US" baseline="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： 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国立大学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B(5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～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7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学部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)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1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大学あたり平均額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9928080808080801E-2"/>
          <c:y val="0.100394278908969"/>
          <c:w val="0.93407323232323303"/>
          <c:h val="0.84462266005295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データシート!$C$70</c:f>
              <c:strCache>
                <c:ptCount val="1"/>
                <c:pt idx="0">
                  <c:v>図書</c:v>
                </c:pt>
              </c:strCache>
            </c:strRef>
          </c:tx>
          <c:invertIfNegative val="0"/>
          <c:cat>
            <c:strRef>
              <c:f>データシート!$D$69:$AY$69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データシート!$D$70:$AY$70</c:f>
              <c:numCache>
                <c:formatCode>#,##0_);[Red]\(#,##0\)</c:formatCode>
                <c:ptCount val="48"/>
                <c:pt idx="0">
                  <c:v>77060.5</c:v>
                </c:pt>
                <c:pt idx="1">
                  <c:v>85860.2</c:v>
                </c:pt>
                <c:pt idx="2">
                  <c:v>97278.444444444438</c:v>
                </c:pt>
                <c:pt idx="3">
                  <c:v>109318.4705882353</c:v>
                </c:pt>
                <c:pt idx="4">
                  <c:v>126072.5</c:v>
                </c:pt>
                <c:pt idx="5">
                  <c:v>129666.21428571429</c:v>
                </c:pt>
                <c:pt idx="6">
                  <c:v>130220.21428571429</c:v>
                </c:pt>
                <c:pt idx="7">
                  <c:v>128562.78571428571</c:v>
                </c:pt>
                <c:pt idx="8">
                  <c:v>121379.92857142857</c:v>
                </c:pt>
                <c:pt idx="9">
                  <c:v>118177.42857142857</c:v>
                </c:pt>
                <c:pt idx="10">
                  <c:v>115547.5</c:v>
                </c:pt>
                <c:pt idx="11">
                  <c:v>118856.14285714286</c:v>
                </c:pt>
                <c:pt idx="12">
                  <c:v>137827.92857142858</c:v>
                </c:pt>
                <c:pt idx="13">
                  <c:v>119711.42857142857</c:v>
                </c:pt>
                <c:pt idx="14">
                  <c:v>119486.21428571429</c:v>
                </c:pt>
                <c:pt idx="15">
                  <c:v>119753.07142857143</c:v>
                </c:pt>
                <c:pt idx="16">
                  <c:v>114115.07142857143</c:v>
                </c:pt>
                <c:pt idx="17">
                  <c:v>114401.64285714286</c:v>
                </c:pt>
                <c:pt idx="18">
                  <c:v>109788.42857142857</c:v>
                </c:pt>
                <c:pt idx="19">
                  <c:v>107024.57142857143</c:v>
                </c:pt>
                <c:pt idx="20">
                  <c:v>107097.14285714286</c:v>
                </c:pt>
                <c:pt idx="21">
                  <c:v>102229</c:v>
                </c:pt>
                <c:pt idx="22">
                  <c:v>110296.8</c:v>
                </c:pt>
                <c:pt idx="23">
                  <c:v>103293.8</c:v>
                </c:pt>
                <c:pt idx="24">
                  <c:v>93631.666666666672</c:v>
                </c:pt>
                <c:pt idx="25">
                  <c:v>89302.066666666666</c:v>
                </c:pt>
                <c:pt idx="26">
                  <c:v>81240.733333333337</c:v>
                </c:pt>
                <c:pt idx="27">
                  <c:v>72966.2</c:v>
                </c:pt>
                <c:pt idx="28">
                  <c:v>63842.368421052633</c:v>
                </c:pt>
                <c:pt idx="29">
                  <c:v>53779.57894736842</c:v>
                </c:pt>
                <c:pt idx="30">
                  <c:v>51375.666666666664</c:v>
                </c:pt>
                <c:pt idx="31">
                  <c:v>42484.529411764706</c:v>
                </c:pt>
                <c:pt idx="32">
                  <c:v>41088.117647058825</c:v>
                </c:pt>
                <c:pt idx="33">
                  <c:v>43463.470588235294</c:v>
                </c:pt>
                <c:pt idx="34">
                  <c:v>51012.705882352944</c:v>
                </c:pt>
                <c:pt idx="35">
                  <c:v>38204.705882352944</c:v>
                </c:pt>
                <c:pt idx="36">
                  <c:v>37220.5</c:v>
                </c:pt>
                <c:pt idx="37">
                  <c:v>37467.3125</c:v>
                </c:pt>
                <c:pt idx="38">
                  <c:v>33541.5625</c:v>
                </c:pt>
                <c:pt idx="39">
                  <c:v>30169.9375</c:v>
                </c:pt>
                <c:pt idx="40">
                  <c:v>26806.55</c:v>
                </c:pt>
                <c:pt idx="41">
                  <c:v>23301</c:v>
                </c:pt>
                <c:pt idx="42">
                  <c:v>22578</c:v>
                </c:pt>
                <c:pt idx="43">
                  <c:v>20326</c:v>
                </c:pt>
                <c:pt idx="44">
                  <c:v>19493</c:v>
                </c:pt>
                <c:pt idx="45">
                  <c:v>17187</c:v>
                </c:pt>
                <c:pt idx="46">
                  <c:v>18427</c:v>
                </c:pt>
                <c:pt idx="47">
                  <c:v>19180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C-47A4-9447-89F001EDCADB}"/>
            </c:ext>
          </c:extLst>
        </c:ser>
        <c:ser>
          <c:idx val="3"/>
          <c:order val="1"/>
          <c:tx>
            <c:strRef>
              <c:f>データシート!$C$71</c:f>
              <c:strCache>
                <c:ptCount val="1"/>
                <c:pt idx="0">
                  <c:v>雑誌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strRef>
              <c:f>データシート!$D$69:$AY$69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データシート!$D$71:$AY$71</c:f>
              <c:numCache>
                <c:formatCode>#,##0_);[Red]\(#,##0\)</c:formatCode>
                <c:ptCount val="48"/>
                <c:pt idx="0">
                  <c:v>53040.222222222219</c:v>
                </c:pt>
                <c:pt idx="1">
                  <c:v>66861.350000000006</c:v>
                </c:pt>
                <c:pt idx="2">
                  <c:v>69265.277777777781</c:v>
                </c:pt>
                <c:pt idx="3">
                  <c:v>72085.352941176476</c:v>
                </c:pt>
                <c:pt idx="4">
                  <c:v>72871.071428571435</c:v>
                </c:pt>
                <c:pt idx="5">
                  <c:v>89886.71428571429</c:v>
                </c:pt>
                <c:pt idx="6">
                  <c:v>94408.928571428565</c:v>
                </c:pt>
                <c:pt idx="7">
                  <c:v>101269.57142857143</c:v>
                </c:pt>
                <c:pt idx="8">
                  <c:v>115512.64285714286</c:v>
                </c:pt>
                <c:pt idx="9">
                  <c:v>107485.92857142857</c:v>
                </c:pt>
                <c:pt idx="10">
                  <c:v>112727.64285714286</c:v>
                </c:pt>
                <c:pt idx="11">
                  <c:v>116793.28571428571</c:v>
                </c:pt>
                <c:pt idx="12">
                  <c:v>119360.14285714286</c:v>
                </c:pt>
                <c:pt idx="13">
                  <c:v>118074.21428571429</c:v>
                </c:pt>
                <c:pt idx="14">
                  <c:v>116055.42857142857</c:v>
                </c:pt>
                <c:pt idx="15">
                  <c:v>126180.42857142857</c:v>
                </c:pt>
                <c:pt idx="16">
                  <c:v>141304.78571428571</c:v>
                </c:pt>
                <c:pt idx="17">
                  <c:v>143351.28571428571</c:v>
                </c:pt>
                <c:pt idx="18">
                  <c:v>145656.14285714287</c:v>
                </c:pt>
                <c:pt idx="19">
                  <c:v>136345.57142857142</c:v>
                </c:pt>
                <c:pt idx="20">
                  <c:v>131334.57142857142</c:v>
                </c:pt>
                <c:pt idx="21">
                  <c:v>141738.4</c:v>
                </c:pt>
                <c:pt idx="22">
                  <c:v>156575.06666666668</c:v>
                </c:pt>
                <c:pt idx="23">
                  <c:v>165155.33333333334</c:v>
                </c:pt>
                <c:pt idx="24">
                  <c:v>181842.66666666666</c:v>
                </c:pt>
                <c:pt idx="25">
                  <c:v>172355.53333333333</c:v>
                </c:pt>
                <c:pt idx="26">
                  <c:v>157252.79999999999</c:v>
                </c:pt>
                <c:pt idx="27">
                  <c:v>165277.6</c:v>
                </c:pt>
                <c:pt idx="28">
                  <c:v>161083</c:v>
                </c:pt>
                <c:pt idx="29">
                  <c:v>132462.36842105264</c:v>
                </c:pt>
                <c:pt idx="30">
                  <c:v>99911.722222222219</c:v>
                </c:pt>
                <c:pt idx="31">
                  <c:v>68900.117647058825</c:v>
                </c:pt>
                <c:pt idx="32">
                  <c:v>58550.294117647056</c:v>
                </c:pt>
                <c:pt idx="33">
                  <c:v>59321.411764705881</c:v>
                </c:pt>
                <c:pt idx="34">
                  <c:v>43885</c:v>
                </c:pt>
                <c:pt idx="35">
                  <c:v>40283.941176470587</c:v>
                </c:pt>
                <c:pt idx="36">
                  <c:v>36874.375</c:v>
                </c:pt>
                <c:pt idx="37">
                  <c:v>32205.3125</c:v>
                </c:pt>
                <c:pt idx="38">
                  <c:v>27750.375</c:v>
                </c:pt>
                <c:pt idx="39">
                  <c:v>28943.5625</c:v>
                </c:pt>
                <c:pt idx="40">
                  <c:v>32154.5</c:v>
                </c:pt>
                <c:pt idx="41">
                  <c:v>29045</c:v>
                </c:pt>
                <c:pt idx="42">
                  <c:v>24854</c:v>
                </c:pt>
                <c:pt idx="43">
                  <c:v>19942</c:v>
                </c:pt>
                <c:pt idx="44">
                  <c:v>19958</c:v>
                </c:pt>
                <c:pt idx="45">
                  <c:v>20034</c:v>
                </c:pt>
                <c:pt idx="46">
                  <c:v>18058</c:v>
                </c:pt>
                <c:pt idx="47">
                  <c:v>20127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BC-47A4-9447-89F001EDCADB}"/>
            </c:ext>
          </c:extLst>
        </c:ser>
        <c:ser>
          <c:idx val="1"/>
          <c:order val="2"/>
          <c:tx>
            <c:strRef>
              <c:f>データシート!$C$72</c:f>
              <c:strCache>
                <c:ptCount val="1"/>
                <c:pt idx="0">
                  <c:v>電子ジャーナル</c:v>
                </c:pt>
              </c:strCache>
            </c:strRef>
          </c:tx>
          <c:invertIfNegative val="0"/>
          <c:cat>
            <c:strRef>
              <c:f>データシート!$D$69:$AY$69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データシート!$D$72:$AY$72</c:f>
              <c:numCache>
                <c:formatCode>#,##0_);[Red]\(#,##0\)</c:formatCode>
                <c:ptCount val="48"/>
                <c:pt idx="29">
                  <c:v>25414.315789473683</c:v>
                </c:pt>
                <c:pt idx="30">
                  <c:v>44621.111111111109</c:v>
                </c:pt>
                <c:pt idx="31">
                  <c:v>63331.352941176468</c:v>
                </c:pt>
                <c:pt idx="32">
                  <c:v>72579.176470588238</c:v>
                </c:pt>
                <c:pt idx="33">
                  <c:v>81016.411764705888</c:v>
                </c:pt>
                <c:pt idx="34">
                  <c:v>87599.588235294112</c:v>
                </c:pt>
                <c:pt idx="35">
                  <c:v>88553.76470588235</c:v>
                </c:pt>
                <c:pt idx="36">
                  <c:v>88762.625</c:v>
                </c:pt>
                <c:pt idx="37">
                  <c:v>92592.3125</c:v>
                </c:pt>
                <c:pt idx="38">
                  <c:v>97707.375</c:v>
                </c:pt>
                <c:pt idx="39">
                  <c:v>106992.6875</c:v>
                </c:pt>
                <c:pt idx="40">
                  <c:v>123807.15</c:v>
                </c:pt>
                <c:pt idx="41">
                  <c:v>134487</c:v>
                </c:pt>
                <c:pt idx="42">
                  <c:v>128165</c:v>
                </c:pt>
                <c:pt idx="43">
                  <c:v>133820</c:v>
                </c:pt>
                <c:pt idx="44">
                  <c:v>132473</c:v>
                </c:pt>
                <c:pt idx="45">
                  <c:v>129730</c:v>
                </c:pt>
                <c:pt idx="46">
                  <c:v>127971</c:v>
                </c:pt>
                <c:pt idx="47">
                  <c:v>138477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BC-47A4-9447-89F001EDCADB}"/>
            </c:ext>
          </c:extLst>
        </c:ser>
        <c:ser>
          <c:idx val="2"/>
          <c:order val="3"/>
          <c:tx>
            <c:strRef>
              <c:f>データシート!$C$73</c:f>
              <c:strCache>
                <c:ptCount val="1"/>
                <c:pt idx="0">
                  <c:v>電子書籍</c:v>
                </c:pt>
              </c:strCache>
            </c:strRef>
          </c:tx>
          <c:invertIfNegative val="0"/>
          <c:cat>
            <c:strRef>
              <c:f>データシート!$D$69:$AY$69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データシート!$D$73:$AY$73</c:f>
              <c:numCache>
                <c:formatCode>#,##0_);[Red]\(#,##0\)</c:formatCode>
                <c:ptCount val="48"/>
                <c:pt idx="35">
                  <c:v>1452.2352941176471</c:v>
                </c:pt>
                <c:pt idx="36">
                  <c:v>2825.6875</c:v>
                </c:pt>
                <c:pt idx="37">
                  <c:v>1733.4375</c:v>
                </c:pt>
                <c:pt idx="38">
                  <c:v>1826.9375</c:v>
                </c:pt>
                <c:pt idx="39">
                  <c:v>1318.1875</c:v>
                </c:pt>
                <c:pt idx="40">
                  <c:v>3758.4</c:v>
                </c:pt>
                <c:pt idx="41">
                  <c:v>3559</c:v>
                </c:pt>
                <c:pt idx="42">
                  <c:v>2679</c:v>
                </c:pt>
                <c:pt idx="43">
                  <c:v>3269</c:v>
                </c:pt>
                <c:pt idx="44">
                  <c:v>2779</c:v>
                </c:pt>
                <c:pt idx="45">
                  <c:v>6724</c:v>
                </c:pt>
                <c:pt idx="46">
                  <c:v>6732</c:v>
                </c:pt>
                <c:pt idx="47">
                  <c:v>7905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BC-47A4-9447-89F001EDCADB}"/>
            </c:ext>
          </c:extLst>
        </c:ser>
        <c:ser>
          <c:idx val="4"/>
          <c:order val="4"/>
          <c:tx>
            <c:strRef>
              <c:f>データシート!$C$74</c:f>
              <c:strCache>
                <c:ptCount val="1"/>
                <c:pt idx="0">
                  <c:v>データベース</c:v>
                </c:pt>
              </c:strCache>
            </c:strRef>
          </c:tx>
          <c:invertIfNegative val="0"/>
          <c:cat>
            <c:strRef>
              <c:f>データシート!$D$69:$AY$69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データシート!$D$74:$AY$74</c:f>
              <c:numCache>
                <c:formatCode>#,##0_);[Red]\(#,##0\)</c:formatCode>
                <c:ptCount val="48"/>
                <c:pt idx="35">
                  <c:v>15843.35294117647</c:v>
                </c:pt>
                <c:pt idx="36">
                  <c:v>15168.3125</c:v>
                </c:pt>
                <c:pt idx="37">
                  <c:v>15526.625</c:v>
                </c:pt>
                <c:pt idx="38">
                  <c:v>16499.8125</c:v>
                </c:pt>
                <c:pt idx="39">
                  <c:v>17962.625</c:v>
                </c:pt>
                <c:pt idx="40">
                  <c:v>17685.95</c:v>
                </c:pt>
                <c:pt idx="41">
                  <c:v>19407</c:v>
                </c:pt>
                <c:pt idx="42">
                  <c:v>18828</c:v>
                </c:pt>
                <c:pt idx="43">
                  <c:v>19596</c:v>
                </c:pt>
                <c:pt idx="44">
                  <c:v>20266</c:v>
                </c:pt>
                <c:pt idx="45">
                  <c:v>20927</c:v>
                </c:pt>
                <c:pt idx="46">
                  <c:v>20761</c:v>
                </c:pt>
                <c:pt idx="47">
                  <c:v>24221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BC-47A4-9447-89F001EDCADB}"/>
            </c:ext>
          </c:extLst>
        </c:ser>
        <c:ser>
          <c:idx val="5"/>
          <c:order val="5"/>
          <c:tx>
            <c:strRef>
              <c:f>データシート!$C$75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データシート!$D$69:$AY$69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データシート!$D$75:$AY$75</c:f>
              <c:numCache>
                <c:formatCode>#,##0_);[Red]\(#,##0\)</c:formatCode>
                <c:ptCount val="48"/>
                <c:pt idx="0">
                  <c:v>3556.9444444444443</c:v>
                </c:pt>
                <c:pt idx="1">
                  <c:v>3360.3</c:v>
                </c:pt>
                <c:pt idx="2">
                  <c:v>5469.333333333333</c:v>
                </c:pt>
                <c:pt idx="3">
                  <c:v>4762.1764705882351</c:v>
                </c:pt>
                <c:pt idx="4">
                  <c:v>4111.4285714285716</c:v>
                </c:pt>
                <c:pt idx="5">
                  <c:v>3722.9285714285716</c:v>
                </c:pt>
                <c:pt idx="6">
                  <c:v>6128.9285714285716</c:v>
                </c:pt>
                <c:pt idx="7">
                  <c:v>8652.1428571428569</c:v>
                </c:pt>
                <c:pt idx="8">
                  <c:v>6803.8571428571431</c:v>
                </c:pt>
                <c:pt idx="9">
                  <c:v>8199.3571428571431</c:v>
                </c:pt>
                <c:pt idx="10">
                  <c:v>7322.6428571428569</c:v>
                </c:pt>
                <c:pt idx="11">
                  <c:v>7835.5</c:v>
                </c:pt>
                <c:pt idx="12">
                  <c:v>10780.714285714286</c:v>
                </c:pt>
                <c:pt idx="13">
                  <c:v>10429.714285714286</c:v>
                </c:pt>
                <c:pt idx="14">
                  <c:v>10332.142857142857</c:v>
                </c:pt>
                <c:pt idx="15">
                  <c:v>7497.0714285714284</c:v>
                </c:pt>
                <c:pt idx="16">
                  <c:v>7901.6428571428569</c:v>
                </c:pt>
                <c:pt idx="17">
                  <c:v>7950.0714285714284</c:v>
                </c:pt>
                <c:pt idx="18">
                  <c:v>8163.2857142857147</c:v>
                </c:pt>
                <c:pt idx="19">
                  <c:v>9910</c:v>
                </c:pt>
                <c:pt idx="20">
                  <c:v>11652.214285714286</c:v>
                </c:pt>
                <c:pt idx="21">
                  <c:v>16696.333333333332</c:v>
                </c:pt>
                <c:pt idx="22">
                  <c:v>17112.933333333334</c:v>
                </c:pt>
                <c:pt idx="23">
                  <c:v>13657.133333333333</c:v>
                </c:pt>
                <c:pt idx="24">
                  <c:v>16105</c:v>
                </c:pt>
                <c:pt idx="25">
                  <c:v>14186.666666666666</c:v>
                </c:pt>
                <c:pt idx="26">
                  <c:v>20943</c:v>
                </c:pt>
                <c:pt idx="27">
                  <c:v>24013.866666666665</c:v>
                </c:pt>
                <c:pt idx="28">
                  <c:v>25044.78947368421</c:v>
                </c:pt>
                <c:pt idx="29">
                  <c:v>14554.21052631579</c:v>
                </c:pt>
                <c:pt idx="30">
                  <c:v>18879.222222222223</c:v>
                </c:pt>
                <c:pt idx="31">
                  <c:v>15452.705882352941</c:v>
                </c:pt>
                <c:pt idx="32">
                  <c:v>18498.411764705881</c:v>
                </c:pt>
                <c:pt idx="33">
                  <c:v>19896.411764705881</c:v>
                </c:pt>
                <c:pt idx="34">
                  <c:v>22577.529411764706</c:v>
                </c:pt>
                <c:pt idx="35">
                  <c:v>4371.6470588235297</c:v>
                </c:pt>
                <c:pt idx="36">
                  <c:v>5808.875</c:v>
                </c:pt>
                <c:pt idx="37">
                  <c:v>3134.9375</c:v>
                </c:pt>
                <c:pt idx="38">
                  <c:v>2920.875</c:v>
                </c:pt>
                <c:pt idx="39">
                  <c:v>2006.25</c:v>
                </c:pt>
                <c:pt idx="40">
                  <c:v>1948.95</c:v>
                </c:pt>
                <c:pt idx="41">
                  <c:v>2064</c:v>
                </c:pt>
                <c:pt idx="42">
                  <c:v>41727</c:v>
                </c:pt>
                <c:pt idx="43">
                  <c:v>2278</c:v>
                </c:pt>
                <c:pt idx="44">
                  <c:v>2197</c:v>
                </c:pt>
                <c:pt idx="45">
                  <c:v>1144</c:v>
                </c:pt>
                <c:pt idx="46">
                  <c:v>1310</c:v>
                </c:pt>
                <c:pt idx="47">
                  <c:v>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BC-47A4-9447-89F001EDC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5119360"/>
        <c:axId val="215121280"/>
      </c:barChart>
      <c:lineChart>
        <c:grouping val="standard"/>
        <c:varyColors val="0"/>
        <c:ser>
          <c:idx val="6"/>
          <c:order val="6"/>
          <c:tx>
            <c:strRef>
              <c:f>データシート!$C$77</c:f>
              <c:strCache>
                <c:ptCount val="1"/>
                <c:pt idx="0">
                  <c:v>対大学総経費比率</c:v>
                </c:pt>
              </c:strCache>
            </c:strRef>
          </c:tx>
          <c:cat>
            <c:strRef>
              <c:f>データシート!$D$69:$AY$69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データシート!$D$77:$AY$77</c:f>
              <c:numCache>
                <c:formatCode>#,##0.00_);[Red]\(#,##0.00\)</c:formatCode>
                <c:ptCount val="48"/>
                <c:pt idx="0">
                  <c:v>1.9123244334575975</c:v>
                </c:pt>
                <c:pt idx="1">
                  <c:v>1.9967103537824853</c:v>
                </c:pt>
                <c:pt idx="2">
                  <c:v>1.9061261050506046</c:v>
                </c:pt>
                <c:pt idx="3">
                  <c:v>1.5957514823928038</c:v>
                </c:pt>
                <c:pt idx="4">
                  <c:v>1.6807730289486764</c:v>
                </c:pt>
                <c:pt idx="5">
                  <c:v>1.6033681861601878</c:v>
                </c:pt>
                <c:pt idx="6">
                  <c:v>1.5566407496292198</c:v>
                </c:pt>
                <c:pt idx="7">
                  <c:v>1.6040579162981714</c:v>
                </c:pt>
                <c:pt idx="8">
                  <c:v>1.5945396494043949</c:v>
                </c:pt>
                <c:pt idx="9">
                  <c:v>1.3899608339680096</c:v>
                </c:pt>
                <c:pt idx="10">
                  <c:v>1.4035235785496691</c:v>
                </c:pt>
                <c:pt idx="11">
                  <c:v>1.4155605346080442</c:v>
                </c:pt>
                <c:pt idx="12">
                  <c:v>1.3654248013626897</c:v>
                </c:pt>
                <c:pt idx="13">
                  <c:v>1.2940327707040915</c:v>
                </c:pt>
                <c:pt idx="14">
                  <c:v>1.2099384449805204</c:v>
                </c:pt>
                <c:pt idx="15">
                  <c:v>1.284561091422266</c:v>
                </c:pt>
                <c:pt idx="16">
                  <c:v>1.2047187354405009</c:v>
                </c:pt>
                <c:pt idx="17">
                  <c:v>1.1561455347449014</c:v>
                </c:pt>
                <c:pt idx="18">
                  <c:v>1.0332946918657362</c:v>
                </c:pt>
                <c:pt idx="19">
                  <c:v>1.0341155155420716</c:v>
                </c:pt>
                <c:pt idx="20">
                  <c:v>0.99747827531959932</c:v>
                </c:pt>
                <c:pt idx="21">
                  <c:v>1.0783889143946519</c:v>
                </c:pt>
                <c:pt idx="22">
                  <c:v>1.2587631112846485</c:v>
                </c:pt>
                <c:pt idx="23">
                  <c:v>1.0974327351049125</c:v>
                </c:pt>
                <c:pt idx="24">
                  <c:v>1.12539094604356</c:v>
                </c:pt>
                <c:pt idx="25">
                  <c:v>1.094215115963495</c:v>
                </c:pt>
                <c:pt idx="26">
                  <c:v>1.0211148062541666</c:v>
                </c:pt>
                <c:pt idx="27">
                  <c:v>1.0086430083031144</c:v>
                </c:pt>
                <c:pt idx="28">
                  <c:v>1.0055864220869266</c:v>
                </c:pt>
                <c:pt idx="29">
                  <c:v>0.84108930013320737</c:v>
                </c:pt>
                <c:pt idx="30">
                  <c:v>0.72251925589591059</c:v>
                </c:pt>
                <c:pt idx="31">
                  <c:v>0.74487871174415854</c:v>
                </c:pt>
                <c:pt idx="32">
                  <c:v>0.72335654292218876</c:v>
                </c:pt>
                <c:pt idx="33">
                  <c:v>0.74490139967342583</c:v>
                </c:pt>
                <c:pt idx="34">
                  <c:v>0.69310175568579824</c:v>
                </c:pt>
                <c:pt idx="35">
                  <c:v>0.69142377792773413</c:v>
                </c:pt>
                <c:pt idx="36">
                  <c:v>0.66224389175998166</c:v>
                </c:pt>
                <c:pt idx="37">
                  <c:v>0.65131757090608056</c:v>
                </c:pt>
                <c:pt idx="38">
                  <c:v>0.67304481750197553</c:v>
                </c:pt>
                <c:pt idx="39">
                  <c:v>0.62180943977022451</c:v>
                </c:pt>
                <c:pt idx="40">
                  <c:v>0.69094812278350382</c:v>
                </c:pt>
                <c:pt idx="41">
                  <c:v>0.71614616154940547</c:v>
                </c:pt>
                <c:pt idx="42" formatCode="#,##0.000;[Red]\-#,##0.000">
                  <c:v>0.80890781967691583</c:v>
                </c:pt>
                <c:pt idx="43" formatCode="#,##0.000;[Red]\-#,##0.000">
                  <c:v>0.66187147734000296</c:v>
                </c:pt>
                <c:pt idx="44" formatCode="#,##0.000;[Red]\-#,##0.000">
                  <c:v>0.63741227028318914</c:v>
                </c:pt>
                <c:pt idx="45" formatCode="#,##0.000;[Red]\-#,##0.000">
                  <c:v>0.62570505234741847</c:v>
                </c:pt>
                <c:pt idx="46" formatCode="#,##0.000;[Red]\-#,##0.000">
                  <c:v>0.59665886134804003</c:v>
                </c:pt>
                <c:pt idx="47" formatCode="#,##0.000;[Red]\-#,##0.000">
                  <c:v>0.63725453472672444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4BC-47A4-9447-89F001EDC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561592"/>
        <c:axId val="641569792"/>
      </c:lineChart>
      <c:catAx>
        <c:axId val="21511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96614797979797995"/>
              <c:y val="0.9559471365638769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15121280"/>
        <c:crosses val="autoZero"/>
        <c:auto val="1"/>
        <c:lblAlgn val="ctr"/>
        <c:lblOffset val="100"/>
        <c:noMultiLvlLbl val="0"/>
      </c:catAx>
      <c:valAx>
        <c:axId val="215121280"/>
        <c:scaling>
          <c:orientation val="minMax"/>
          <c:max val="3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3.20024242424242E-2"/>
              <c:y val="6.4973926717310101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15119360"/>
        <c:crosses val="autoZero"/>
        <c:crossBetween val="between"/>
        <c:dispUnits>
          <c:builtInUnit val="thousands"/>
        </c:dispUnits>
      </c:valAx>
      <c:valAx>
        <c:axId val="641569792"/>
        <c:scaling>
          <c:orientation val="minMax"/>
        </c:scaling>
        <c:delete val="0"/>
        <c:axPos val="r"/>
        <c:numFmt formatCode="#,##0.0;[Red]\-#,##0.0" sourceLinked="0"/>
        <c:majorTickMark val="out"/>
        <c:minorTickMark val="none"/>
        <c:tickLblPos val="nextTo"/>
        <c:crossAx val="641561592"/>
        <c:crosses val="max"/>
        <c:crossBetween val="between"/>
      </c:valAx>
      <c:catAx>
        <c:axId val="641561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156979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9348363937397306"/>
          <c:y val="6.8239107783023667E-2"/>
          <c:w val="0.13153959897465023"/>
          <c:h val="0.28611634949024911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図書館資料費の推移</a:t>
            </a:r>
            <a:r>
              <a:rPr lang="ja-JP" altLang="en-US" baseline="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： 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国立大学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C(2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～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4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学部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)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1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大学あたり平均額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9928080808080801E-2"/>
          <c:y val="0.100394278908969"/>
          <c:w val="0.92660609697105101"/>
          <c:h val="0.84462266005295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データシート!$C$89</c:f>
              <c:strCache>
                <c:ptCount val="1"/>
                <c:pt idx="0">
                  <c:v>図書</c:v>
                </c:pt>
              </c:strCache>
            </c:strRef>
          </c:tx>
          <c:invertIfNegative val="0"/>
          <c:cat>
            <c:strRef>
              <c:f>データシート!$D$88:$AY$88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データシート!$D$89:$AY$89</c:f>
              <c:numCache>
                <c:formatCode>#,##0_);[Red]\(#,##0\)</c:formatCode>
                <c:ptCount val="48"/>
                <c:pt idx="0">
                  <c:v>45707.689655172413</c:v>
                </c:pt>
                <c:pt idx="1">
                  <c:v>50792.592592592591</c:v>
                </c:pt>
                <c:pt idx="2">
                  <c:v>51925.296296296299</c:v>
                </c:pt>
                <c:pt idx="3">
                  <c:v>61762.333333333336</c:v>
                </c:pt>
                <c:pt idx="4">
                  <c:v>73596.555555555562</c:v>
                </c:pt>
                <c:pt idx="5">
                  <c:v>79016.370370370365</c:v>
                </c:pt>
                <c:pt idx="6">
                  <c:v>88554</c:v>
                </c:pt>
                <c:pt idx="7">
                  <c:v>76548.074074074073</c:v>
                </c:pt>
                <c:pt idx="8">
                  <c:v>73688.259259259255</c:v>
                </c:pt>
                <c:pt idx="9">
                  <c:v>73605.555555555562</c:v>
                </c:pt>
                <c:pt idx="10">
                  <c:v>65398.777777777781</c:v>
                </c:pt>
                <c:pt idx="11">
                  <c:v>64423.857142857145</c:v>
                </c:pt>
                <c:pt idx="12">
                  <c:v>75031.5</c:v>
                </c:pt>
                <c:pt idx="13">
                  <c:v>70123.607142857145</c:v>
                </c:pt>
                <c:pt idx="14">
                  <c:v>71476</c:v>
                </c:pt>
                <c:pt idx="15">
                  <c:v>71380.931034482754</c:v>
                </c:pt>
                <c:pt idx="16">
                  <c:v>62665.93548387097</c:v>
                </c:pt>
                <c:pt idx="17">
                  <c:v>64110</c:v>
                </c:pt>
                <c:pt idx="18">
                  <c:v>62596.354838709674</c:v>
                </c:pt>
                <c:pt idx="19">
                  <c:v>60795.419354838712</c:v>
                </c:pt>
                <c:pt idx="20">
                  <c:v>60695.774193548386</c:v>
                </c:pt>
                <c:pt idx="21">
                  <c:v>62321.566666666666</c:v>
                </c:pt>
                <c:pt idx="22">
                  <c:v>62397.379310344826</c:v>
                </c:pt>
                <c:pt idx="23">
                  <c:v>62314.275862068964</c:v>
                </c:pt>
                <c:pt idx="24">
                  <c:v>59642.034482758623</c:v>
                </c:pt>
                <c:pt idx="25">
                  <c:v>58062.586206896551</c:v>
                </c:pt>
                <c:pt idx="26">
                  <c:v>55789.517241379312</c:v>
                </c:pt>
                <c:pt idx="27">
                  <c:v>53606.448275862072</c:v>
                </c:pt>
                <c:pt idx="28">
                  <c:v>51700.384615384617</c:v>
                </c:pt>
                <c:pt idx="29">
                  <c:v>41778.884615384617</c:v>
                </c:pt>
                <c:pt idx="30">
                  <c:v>38106.461538461539</c:v>
                </c:pt>
                <c:pt idx="31">
                  <c:v>39040.879999999997</c:v>
                </c:pt>
                <c:pt idx="32">
                  <c:v>39014.76</c:v>
                </c:pt>
                <c:pt idx="33">
                  <c:v>39436.639999999999</c:v>
                </c:pt>
                <c:pt idx="34">
                  <c:v>43130.6</c:v>
                </c:pt>
                <c:pt idx="35">
                  <c:v>36091.279999999999</c:v>
                </c:pt>
                <c:pt idx="36">
                  <c:v>37026.923076923078</c:v>
                </c:pt>
                <c:pt idx="37">
                  <c:v>34245.846153846156</c:v>
                </c:pt>
                <c:pt idx="38">
                  <c:v>30756.5</c:v>
                </c:pt>
                <c:pt idx="39">
                  <c:v>28718.076923076922</c:v>
                </c:pt>
                <c:pt idx="40">
                  <c:v>28742.666666666668</c:v>
                </c:pt>
                <c:pt idx="41">
                  <c:v>22515</c:v>
                </c:pt>
                <c:pt idx="42">
                  <c:v>21696</c:v>
                </c:pt>
                <c:pt idx="43">
                  <c:v>20316</c:v>
                </c:pt>
                <c:pt idx="44">
                  <c:v>19198</c:v>
                </c:pt>
                <c:pt idx="45">
                  <c:v>17184</c:v>
                </c:pt>
                <c:pt idx="46">
                  <c:v>17850</c:v>
                </c:pt>
                <c:pt idx="47">
                  <c:v>12347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8-4CD5-8CC4-7ECF8B773252}"/>
            </c:ext>
          </c:extLst>
        </c:ser>
        <c:ser>
          <c:idx val="3"/>
          <c:order val="1"/>
          <c:tx>
            <c:strRef>
              <c:f>データシート!$C$90</c:f>
              <c:strCache>
                <c:ptCount val="1"/>
                <c:pt idx="0">
                  <c:v>雑誌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strRef>
              <c:f>データシート!$D$88:$AY$88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データシート!$D$90:$AY$90</c:f>
              <c:numCache>
                <c:formatCode>#,##0_);[Red]\(#,##0\)</c:formatCode>
                <c:ptCount val="48"/>
                <c:pt idx="0">
                  <c:v>27905.827586206895</c:v>
                </c:pt>
                <c:pt idx="1">
                  <c:v>32495.962962962964</c:v>
                </c:pt>
                <c:pt idx="2">
                  <c:v>33546.703703703701</c:v>
                </c:pt>
                <c:pt idx="3">
                  <c:v>35327.259259259263</c:v>
                </c:pt>
                <c:pt idx="4">
                  <c:v>36966.592592592591</c:v>
                </c:pt>
                <c:pt idx="5">
                  <c:v>49241.444444444445</c:v>
                </c:pt>
                <c:pt idx="6">
                  <c:v>52449.629629629628</c:v>
                </c:pt>
                <c:pt idx="7">
                  <c:v>55286.111111111109</c:v>
                </c:pt>
                <c:pt idx="8">
                  <c:v>62715.777777777781</c:v>
                </c:pt>
                <c:pt idx="9">
                  <c:v>59479.407407407409</c:v>
                </c:pt>
                <c:pt idx="10">
                  <c:v>64092.296296296299</c:v>
                </c:pt>
                <c:pt idx="11">
                  <c:v>64721.607142857145</c:v>
                </c:pt>
                <c:pt idx="12">
                  <c:v>60432.25</c:v>
                </c:pt>
                <c:pt idx="13">
                  <c:v>64836.607142857145</c:v>
                </c:pt>
                <c:pt idx="14">
                  <c:v>62371.862068965514</c:v>
                </c:pt>
                <c:pt idx="15">
                  <c:v>69483.31034482758</c:v>
                </c:pt>
                <c:pt idx="16">
                  <c:v>71364.548387096773</c:v>
                </c:pt>
                <c:pt idx="17">
                  <c:v>74008.193548387091</c:v>
                </c:pt>
                <c:pt idx="18">
                  <c:v>73857.580645161288</c:v>
                </c:pt>
                <c:pt idx="19">
                  <c:v>71019.612903225803</c:v>
                </c:pt>
                <c:pt idx="20">
                  <c:v>72241.548387096773</c:v>
                </c:pt>
                <c:pt idx="21">
                  <c:v>75026.766666666663</c:v>
                </c:pt>
                <c:pt idx="22">
                  <c:v>88378.413793103449</c:v>
                </c:pt>
                <c:pt idx="23">
                  <c:v>93729.241379310348</c:v>
                </c:pt>
                <c:pt idx="24">
                  <c:v>98295.172413793101</c:v>
                </c:pt>
                <c:pt idx="25">
                  <c:v>89652.068965517246</c:v>
                </c:pt>
                <c:pt idx="26">
                  <c:v>83579.413793103449</c:v>
                </c:pt>
                <c:pt idx="27">
                  <c:v>90984.034482758623</c:v>
                </c:pt>
                <c:pt idx="28">
                  <c:v>96806.423076923078</c:v>
                </c:pt>
                <c:pt idx="29">
                  <c:v>84142.653846153844</c:v>
                </c:pt>
                <c:pt idx="30">
                  <c:v>73453.038461538468</c:v>
                </c:pt>
                <c:pt idx="31">
                  <c:v>60097.16</c:v>
                </c:pt>
                <c:pt idx="32">
                  <c:v>50571.16</c:v>
                </c:pt>
                <c:pt idx="33">
                  <c:v>44400.800000000003</c:v>
                </c:pt>
                <c:pt idx="34">
                  <c:v>38925.68</c:v>
                </c:pt>
                <c:pt idx="35">
                  <c:v>32231.919999999998</c:v>
                </c:pt>
                <c:pt idx="36">
                  <c:v>27745.73076923077</c:v>
                </c:pt>
                <c:pt idx="37">
                  <c:v>27045.153846153848</c:v>
                </c:pt>
                <c:pt idx="38">
                  <c:v>26276.115384615383</c:v>
                </c:pt>
                <c:pt idx="39">
                  <c:v>25478.923076923078</c:v>
                </c:pt>
                <c:pt idx="40">
                  <c:v>18649.428571428572</c:v>
                </c:pt>
                <c:pt idx="41">
                  <c:v>15928</c:v>
                </c:pt>
                <c:pt idx="42">
                  <c:v>13311</c:v>
                </c:pt>
                <c:pt idx="43">
                  <c:v>11455</c:v>
                </c:pt>
                <c:pt idx="44">
                  <c:v>10666</c:v>
                </c:pt>
                <c:pt idx="45">
                  <c:v>9172</c:v>
                </c:pt>
                <c:pt idx="46">
                  <c:v>8297</c:v>
                </c:pt>
                <c:pt idx="47">
                  <c:v>7054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C8-4CD5-8CC4-7ECF8B773252}"/>
            </c:ext>
          </c:extLst>
        </c:ser>
        <c:ser>
          <c:idx val="1"/>
          <c:order val="2"/>
          <c:tx>
            <c:strRef>
              <c:f>データシート!$C$91</c:f>
              <c:strCache>
                <c:ptCount val="1"/>
                <c:pt idx="0">
                  <c:v>電子ジャーナル</c:v>
                </c:pt>
              </c:strCache>
            </c:strRef>
          </c:tx>
          <c:invertIfNegative val="0"/>
          <c:cat>
            <c:strRef>
              <c:f>データシート!$D$88:$AY$88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データシート!$D$91:$AY$91</c:f>
              <c:numCache>
                <c:formatCode>#,##0_);[Red]\(#,##0\)</c:formatCode>
                <c:ptCount val="48"/>
                <c:pt idx="29">
                  <c:v>14518.307692307691</c:v>
                </c:pt>
                <c:pt idx="30">
                  <c:v>19615.807692307691</c:v>
                </c:pt>
                <c:pt idx="31">
                  <c:v>34494.92</c:v>
                </c:pt>
                <c:pt idx="32">
                  <c:v>44316.32</c:v>
                </c:pt>
                <c:pt idx="33">
                  <c:v>55308.72</c:v>
                </c:pt>
                <c:pt idx="34">
                  <c:v>60181.08</c:v>
                </c:pt>
                <c:pt idx="35">
                  <c:v>60177.56</c:v>
                </c:pt>
                <c:pt idx="36">
                  <c:v>60556.807692307695</c:v>
                </c:pt>
                <c:pt idx="37">
                  <c:v>60439</c:v>
                </c:pt>
                <c:pt idx="38">
                  <c:v>62679.615384615383</c:v>
                </c:pt>
                <c:pt idx="39">
                  <c:v>71078.038461538468</c:v>
                </c:pt>
                <c:pt idx="40">
                  <c:v>66120.095238095237</c:v>
                </c:pt>
                <c:pt idx="41">
                  <c:v>61748</c:v>
                </c:pt>
                <c:pt idx="42">
                  <c:v>60472</c:v>
                </c:pt>
                <c:pt idx="43">
                  <c:v>61328</c:v>
                </c:pt>
                <c:pt idx="44">
                  <c:v>63715</c:v>
                </c:pt>
                <c:pt idx="45">
                  <c:v>66362</c:v>
                </c:pt>
                <c:pt idx="46">
                  <c:v>67350</c:v>
                </c:pt>
                <c:pt idx="47">
                  <c:v>66140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C8-4CD5-8CC4-7ECF8B773252}"/>
            </c:ext>
          </c:extLst>
        </c:ser>
        <c:ser>
          <c:idx val="2"/>
          <c:order val="3"/>
          <c:tx>
            <c:strRef>
              <c:f>データシート!$C$92</c:f>
              <c:strCache>
                <c:ptCount val="1"/>
                <c:pt idx="0">
                  <c:v>電子書籍</c:v>
                </c:pt>
              </c:strCache>
            </c:strRef>
          </c:tx>
          <c:invertIfNegative val="0"/>
          <c:cat>
            <c:strRef>
              <c:f>データシート!$D$88:$AY$88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データシート!$D$92:$AY$92</c:f>
              <c:numCache>
                <c:formatCode>#,##0_);[Red]\(#,##0\)</c:formatCode>
                <c:ptCount val="48"/>
                <c:pt idx="35">
                  <c:v>2514.96</c:v>
                </c:pt>
                <c:pt idx="36">
                  <c:v>1546.5384615384614</c:v>
                </c:pt>
                <c:pt idx="37">
                  <c:v>2959.6923076923076</c:v>
                </c:pt>
                <c:pt idx="38">
                  <c:v>2678.1538461538462</c:v>
                </c:pt>
                <c:pt idx="39">
                  <c:v>2172.4615384615386</c:v>
                </c:pt>
                <c:pt idx="40">
                  <c:v>1903.6190476190477</c:v>
                </c:pt>
                <c:pt idx="41">
                  <c:v>2300</c:v>
                </c:pt>
                <c:pt idx="42">
                  <c:v>2301</c:v>
                </c:pt>
                <c:pt idx="43">
                  <c:v>1882</c:v>
                </c:pt>
                <c:pt idx="44">
                  <c:v>3961</c:v>
                </c:pt>
                <c:pt idx="45">
                  <c:v>4665</c:v>
                </c:pt>
                <c:pt idx="46">
                  <c:v>6372</c:v>
                </c:pt>
                <c:pt idx="47">
                  <c:v>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C8-4CD5-8CC4-7ECF8B773252}"/>
            </c:ext>
          </c:extLst>
        </c:ser>
        <c:ser>
          <c:idx val="4"/>
          <c:order val="4"/>
          <c:tx>
            <c:strRef>
              <c:f>データシート!$C$93</c:f>
              <c:strCache>
                <c:ptCount val="1"/>
                <c:pt idx="0">
                  <c:v>データベース</c:v>
                </c:pt>
              </c:strCache>
            </c:strRef>
          </c:tx>
          <c:invertIfNegative val="0"/>
          <c:cat>
            <c:strRef>
              <c:f>データシート!$D$88:$AY$88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データシート!$D$93:$AY$93</c:f>
              <c:numCache>
                <c:formatCode>#,##0_);[Red]\(#,##0\)</c:formatCode>
                <c:ptCount val="48"/>
                <c:pt idx="35">
                  <c:v>10350.76</c:v>
                </c:pt>
                <c:pt idx="36">
                  <c:v>10663.192307692309</c:v>
                </c:pt>
                <c:pt idx="37">
                  <c:v>11885.346153846154</c:v>
                </c:pt>
                <c:pt idx="38">
                  <c:v>12726.961538461539</c:v>
                </c:pt>
                <c:pt idx="39">
                  <c:v>13328.192307692309</c:v>
                </c:pt>
                <c:pt idx="40">
                  <c:v>13809.809523809523</c:v>
                </c:pt>
                <c:pt idx="41">
                  <c:v>13464</c:v>
                </c:pt>
                <c:pt idx="42">
                  <c:v>13073</c:v>
                </c:pt>
                <c:pt idx="43">
                  <c:v>13445</c:v>
                </c:pt>
                <c:pt idx="44">
                  <c:v>14086</c:v>
                </c:pt>
                <c:pt idx="45">
                  <c:v>14092</c:v>
                </c:pt>
                <c:pt idx="46">
                  <c:v>15777</c:v>
                </c:pt>
                <c:pt idx="47">
                  <c:v>14267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C8-4CD5-8CC4-7ECF8B773252}"/>
            </c:ext>
          </c:extLst>
        </c:ser>
        <c:ser>
          <c:idx val="5"/>
          <c:order val="5"/>
          <c:tx>
            <c:strRef>
              <c:f>データシート!$C$94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データシート!$D$88:$AY$88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データシート!$D$94:$AY$94</c:f>
              <c:numCache>
                <c:formatCode>#,##0_);[Red]\(#,##0\)</c:formatCode>
                <c:ptCount val="48"/>
                <c:pt idx="0">
                  <c:v>1829.9310344827586</c:v>
                </c:pt>
                <c:pt idx="1">
                  <c:v>2568.3703703703704</c:v>
                </c:pt>
                <c:pt idx="2">
                  <c:v>2656.0740740740739</c:v>
                </c:pt>
                <c:pt idx="3">
                  <c:v>4339.7777777777774</c:v>
                </c:pt>
                <c:pt idx="4">
                  <c:v>4089.5925925925926</c:v>
                </c:pt>
                <c:pt idx="5">
                  <c:v>4277.0370370370374</c:v>
                </c:pt>
                <c:pt idx="6">
                  <c:v>4300.8518518518522</c:v>
                </c:pt>
                <c:pt idx="7">
                  <c:v>4601.0740740740739</c:v>
                </c:pt>
                <c:pt idx="8">
                  <c:v>5918</c:v>
                </c:pt>
                <c:pt idx="9">
                  <c:v>5945.1481481481478</c:v>
                </c:pt>
                <c:pt idx="10">
                  <c:v>4916.6296296296296</c:v>
                </c:pt>
                <c:pt idx="11">
                  <c:v>5663.7857142857147</c:v>
                </c:pt>
                <c:pt idx="12">
                  <c:v>5119.2857142857147</c:v>
                </c:pt>
                <c:pt idx="13">
                  <c:v>4804.1071428571431</c:v>
                </c:pt>
                <c:pt idx="14">
                  <c:v>5042.0344827586205</c:v>
                </c:pt>
                <c:pt idx="15">
                  <c:v>6841.3103448275861</c:v>
                </c:pt>
                <c:pt idx="16">
                  <c:v>6831.4193548387093</c:v>
                </c:pt>
                <c:pt idx="17">
                  <c:v>7146.7096774193551</c:v>
                </c:pt>
                <c:pt idx="18">
                  <c:v>7325.8709677419356</c:v>
                </c:pt>
                <c:pt idx="19">
                  <c:v>9618.354838709678</c:v>
                </c:pt>
                <c:pt idx="20">
                  <c:v>9910.7096774193542</c:v>
                </c:pt>
                <c:pt idx="21">
                  <c:v>8996.7333333333336</c:v>
                </c:pt>
                <c:pt idx="22">
                  <c:v>9814.4827586206902</c:v>
                </c:pt>
                <c:pt idx="23">
                  <c:v>9463.1034482758623</c:v>
                </c:pt>
                <c:pt idx="24">
                  <c:v>10778.931034482759</c:v>
                </c:pt>
                <c:pt idx="25">
                  <c:v>9943.5862068965525</c:v>
                </c:pt>
                <c:pt idx="26">
                  <c:v>8417.3448275862065</c:v>
                </c:pt>
                <c:pt idx="27">
                  <c:v>9833.7241379310344</c:v>
                </c:pt>
                <c:pt idx="28">
                  <c:v>13195.846153846154</c:v>
                </c:pt>
                <c:pt idx="29">
                  <c:v>6312.6153846153848</c:v>
                </c:pt>
                <c:pt idx="30">
                  <c:v>8770.4230769230762</c:v>
                </c:pt>
                <c:pt idx="31">
                  <c:v>9290.1200000000008</c:v>
                </c:pt>
                <c:pt idx="32">
                  <c:v>9148.92</c:v>
                </c:pt>
                <c:pt idx="33">
                  <c:v>9740.2000000000007</c:v>
                </c:pt>
                <c:pt idx="34">
                  <c:v>13806.4</c:v>
                </c:pt>
                <c:pt idx="35">
                  <c:v>4276.16</c:v>
                </c:pt>
                <c:pt idx="36">
                  <c:v>3532.2307692307691</c:v>
                </c:pt>
                <c:pt idx="37">
                  <c:v>2147.8461538461538</c:v>
                </c:pt>
                <c:pt idx="38">
                  <c:v>1510.3846153846155</c:v>
                </c:pt>
                <c:pt idx="39">
                  <c:v>1509.3076923076924</c:v>
                </c:pt>
                <c:pt idx="40">
                  <c:v>1827.2857142857142</c:v>
                </c:pt>
                <c:pt idx="41">
                  <c:v>1158</c:v>
                </c:pt>
                <c:pt idx="42">
                  <c:v>1339</c:v>
                </c:pt>
                <c:pt idx="43">
                  <c:v>1278</c:v>
                </c:pt>
                <c:pt idx="44">
                  <c:v>1105</c:v>
                </c:pt>
                <c:pt idx="45">
                  <c:v>988</c:v>
                </c:pt>
                <c:pt idx="46">
                  <c:v>999</c:v>
                </c:pt>
                <c:pt idx="47">
                  <c:v>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C8-4CD5-8CC4-7ECF8B773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947712"/>
        <c:axId val="215027712"/>
      </c:barChart>
      <c:lineChart>
        <c:grouping val="standard"/>
        <c:varyColors val="0"/>
        <c:ser>
          <c:idx val="6"/>
          <c:order val="6"/>
          <c:tx>
            <c:strRef>
              <c:f>データシート!$C$96</c:f>
              <c:strCache>
                <c:ptCount val="1"/>
                <c:pt idx="0">
                  <c:v>対大学総経費比率</c:v>
                </c:pt>
              </c:strCache>
            </c:strRef>
          </c:tx>
          <c:cat>
            <c:strRef>
              <c:f>データシート!$D$88:$AY$88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データシート!$D$96:$AY$96</c:f>
              <c:numCache>
                <c:formatCode>#,##0.00_);[Red]\(#,##0.00\)</c:formatCode>
                <c:ptCount val="48"/>
                <c:pt idx="0">
                  <c:v>2.0394872989979027</c:v>
                </c:pt>
                <c:pt idx="1">
                  <c:v>2.0973680400991626</c:v>
                </c:pt>
                <c:pt idx="2">
                  <c:v>2.0778207602364716</c:v>
                </c:pt>
                <c:pt idx="3">
                  <c:v>1.9823903696089642</c:v>
                </c:pt>
                <c:pt idx="4">
                  <c:v>1.9378772065702869</c:v>
                </c:pt>
                <c:pt idx="5">
                  <c:v>2.0741949896812826</c:v>
                </c:pt>
                <c:pt idx="6">
                  <c:v>2.1080741818048638</c:v>
                </c:pt>
                <c:pt idx="7">
                  <c:v>1.9465357270817572</c:v>
                </c:pt>
                <c:pt idx="8">
                  <c:v>2.0414366545610614</c:v>
                </c:pt>
                <c:pt idx="9">
                  <c:v>1.7933427104891455</c:v>
                </c:pt>
                <c:pt idx="10">
                  <c:v>1.6891080002755441</c:v>
                </c:pt>
                <c:pt idx="11">
                  <c:v>1.6872545063174327</c:v>
                </c:pt>
                <c:pt idx="12">
                  <c:v>1.6176220937756238</c:v>
                </c:pt>
                <c:pt idx="13">
                  <c:v>1.6017003214716579</c:v>
                </c:pt>
                <c:pt idx="14">
                  <c:v>1.6720769680125525</c:v>
                </c:pt>
                <c:pt idx="15">
                  <c:v>1.6212772159321782</c:v>
                </c:pt>
                <c:pt idx="16">
                  <c:v>1.5723185031520968</c:v>
                </c:pt>
                <c:pt idx="17">
                  <c:v>1.5609899311980753</c:v>
                </c:pt>
                <c:pt idx="18">
                  <c:v>1.1345820190809188</c:v>
                </c:pt>
                <c:pt idx="19">
                  <c:v>1.3340193480065039</c:v>
                </c:pt>
                <c:pt idx="20">
                  <c:v>1.2503192051712109</c:v>
                </c:pt>
                <c:pt idx="21">
                  <c:v>1.3024662003151433</c:v>
                </c:pt>
                <c:pt idx="22">
                  <c:v>1.395725307096592</c:v>
                </c:pt>
                <c:pt idx="23">
                  <c:v>1.409001527693452</c:v>
                </c:pt>
                <c:pt idx="24">
                  <c:v>1.3954485957644811</c:v>
                </c:pt>
                <c:pt idx="25">
                  <c:v>1.3448069922602013</c:v>
                </c:pt>
                <c:pt idx="26">
                  <c:v>1.4089899917144866</c:v>
                </c:pt>
                <c:pt idx="27">
                  <c:v>1.3628011198231889</c:v>
                </c:pt>
                <c:pt idx="28">
                  <c:v>1.1785742683940608</c:v>
                </c:pt>
                <c:pt idx="29">
                  <c:v>0.96184998156848533</c:v>
                </c:pt>
                <c:pt idx="30">
                  <c:v>0.8682732503457814</c:v>
                </c:pt>
                <c:pt idx="31">
                  <c:v>0.88232902303780825</c:v>
                </c:pt>
                <c:pt idx="32">
                  <c:v>0.86090046258933184</c:v>
                </c:pt>
                <c:pt idx="33">
                  <c:v>0.86143412212163617</c:v>
                </c:pt>
                <c:pt idx="34">
                  <c:v>0.83588668134390609</c:v>
                </c:pt>
                <c:pt idx="35">
                  <c:v>0.85912652940862577</c:v>
                </c:pt>
                <c:pt idx="36">
                  <c:v>0.83567253110273765</c:v>
                </c:pt>
                <c:pt idx="37">
                  <c:v>0.80402747613671</c:v>
                </c:pt>
                <c:pt idx="38">
                  <c:v>0.75236315514195062</c:v>
                </c:pt>
                <c:pt idx="39">
                  <c:v>0.78464359119401417</c:v>
                </c:pt>
                <c:pt idx="40">
                  <c:v>0.78263236828786542</c:v>
                </c:pt>
                <c:pt idx="41">
                  <c:v>0.70885807849955118</c:v>
                </c:pt>
                <c:pt idx="42" formatCode="#,##0.000;[Red]\-#,##0.000">
                  <c:v>0.66124593902900675</c:v>
                </c:pt>
                <c:pt idx="43" formatCode="#,##0.000;[Red]\-#,##0.000">
                  <c:v>0.63204337427281421</c:v>
                </c:pt>
                <c:pt idx="44" formatCode="#,##0.000;[Red]\-#,##0.000">
                  <c:v>0.63666369366171749</c:v>
                </c:pt>
                <c:pt idx="45" formatCode="#,##0.000;[Red]\-#,##0.000">
                  <c:v>0.62934964960523232</c:v>
                </c:pt>
                <c:pt idx="46" formatCode="#,##0.000;[Red]\-#,##0.000">
                  <c:v>0.62925997393902799</c:v>
                </c:pt>
                <c:pt idx="47" formatCode="#,##0.000;[Red]\-#,##0.000">
                  <c:v>0.54212419072967755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C8-4CD5-8CC4-7ECF8B773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482048"/>
        <c:axId val="757475488"/>
      </c:lineChart>
      <c:catAx>
        <c:axId val="21494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96614797979797995"/>
              <c:y val="0.9559471365638769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15027712"/>
        <c:crosses val="autoZero"/>
        <c:auto val="1"/>
        <c:lblAlgn val="ctr"/>
        <c:lblOffset val="100"/>
        <c:noMultiLvlLbl val="0"/>
      </c:catAx>
      <c:valAx>
        <c:axId val="215027712"/>
        <c:scaling>
          <c:orientation val="minMax"/>
          <c:max val="2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2.6871111111111099E-2"/>
              <c:y val="6.3016021675704595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14947712"/>
        <c:crosses val="autoZero"/>
        <c:crossBetween val="between"/>
        <c:dispUnits>
          <c:builtInUnit val="thousands"/>
        </c:dispUnits>
      </c:valAx>
      <c:valAx>
        <c:axId val="757475488"/>
        <c:scaling>
          <c:orientation val="minMax"/>
        </c:scaling>
        <c:delete val="0"/>
        <c:axPos val="r"/>
        <c:numFmt formatCode="#,##0.0;[Red]\-#,##0.0" sourceLinked="0"/>
        <c:majorTickMark val="out"/>
        <c:minorTickMark val="none"/>
        <c:tickLblPos val="nextTo"/>
        <c:crossAx val="757482048"/>
        <c:crosses val="max"/>
        <c:crossBetween val="between"/>
      </c:valAx>
      <c:catAx>
        <c:axId val="757482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74754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205538418943531"/>
          <c:y val="7.2173038828802535E-2"/>
          <c:w val="0.13209811041075895"/>
          <c:h val="0.28611634949024911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39370078740157483" l="0.39370078740157483" r="0.39370078740157483" t="0.78740157480314965" header="0.31496062992125984" footer="0.3149606299212598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図書館資料費の推移</a:t>
            </a:r>
            <a:r>
              <a:rPr lang="ja-JP" altLang="en-US" baseline="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： 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国立大学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D(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単科大学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)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1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大学あたり平均額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4796767676767697E-2"/>
          <c:y val="0.100394278908969"/>
          <c:w val="0.93920454545454601"/>
          <c:h val="0.84462266005295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データシート!$C$108</c:f>
              <c:strCache>
                <c:ptCount val="1"/>
                <c:pt idx="0">
                  <c:v>図書</c:v>
                </c:pt>
              </c:strCache>
            </c:strRef>
          </c:tx>
          <c:invertIfNegative val="0"/>
          <c:cat>
            <c:strRef>
              <c:f>データシート!$D$107:$AY$107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データシート!$D$108:$AY$108</c:f>
              <c:numCache>
                <c:formatCode>#,##0_);[Red]\(#,##0\)</c:formatCode>
                <c:ptCount val="48"/>
                <c:pt idx="0">
                  <c:v>25555.576923076922</c:v>
                </c:pt>
                <c:pt idx="1">
                  <c:v>29150.576923076922</c:v>
                </c:pt>
                <c:pt idx="2">
                  <c:v>28534.16129032258</c:v>
                </c:pt>
                <c:pt idx="3">
                  <c:v>35263.290322580644</c:v>
                </c:pt>
                <c:pt idx="4">
                  <c:v>33224.777777777781</c:v>
                </c:pt>
                <c:pt idx="5">
                  <c:v>37311.324324324327</c:v>
                </c:pt>
                <c:pt idx="6">
                  <c:v>39394.75675675676</c:v>
                </c:pt>
                <c:pt idx="7">
                  <c:v>39314.2972972973</c:v>
                </c:pt>
                <c:pt idx="8">
                  <c:v>34251.972972972973</c:v>
                </c:pt>
                <c:pt idx="9">
                  <c:v>34158.923076923078</c:v>
                </c:pt>
                <c:pt idx="10">
                  <c:v>32790.205128205125</c:v>
                </c:pt>
                <c:pt idx="11">
                  <c:v>32502.473684210527</c:v>
                </c:pt>
                <c:pt idx="12">
                  <c:v>36843.07894736842</c:v>
                </c:pt>
                <c:pt idx="13">
                  <c:v>35120.76315789474</c:v>
                </c:pt>
                <c:pt idx="14">
                  <c:v>37438.868421052633</c:v>
                </c:pt>
                <c:pt idx="15">
                  <c:v>34981.333333333336</c:v>
                </c:pt>
                <c:pt idx="16">
                  <c:v>33437.92105263158</c:v>
                </c:pt>
                <c:pt idx="17">
                  <c:v>34085.868421052633</c:v>
                </c:pt>
                <c:pt idx="18">
                  <c:v>32573.63157894737</c:v>
                </c:pt>
                <c:pt idx="19">
                  <c:v>31406.184210526317</c:v>
                </c:pt>
                <c:pt idx="20">
                  <c:v>33099.552631578947</c:v>
                </c:pt>
                <c:pt idx="21">
                  <c:v>30896</c:v>
                </c:pt>
                <c:pt idx="22">
                  <c:v>30576.692307692309</c:v>
                </c:pt>
                <c:pt idx="23">
                  <c:v>29546.923076923078</c:v>
                </c:pt>
                <c:pt idx="24">
                  <c:v>27190.102564102563</c:v>
                </c:pt>
                <c:pt idx="25">
                  <c:v>26862.076923076922</c:v>
                </c:pt>
                <c:pt idx="26">
                  <c:v>27806.897435897437</c:v>
                </c:pt>
                <c:pt idx="27">
                  <c:v>26965.702702702703</c:v>
                </c:pt>
                <c:pt idx="28">
                  <c:v>28782.76923076923</c:v>
                </c:pt>
                <c:pt idx="29">
                  <c:v>23655.038461538461</c:v>
                </c:pt>
                <c:pt idx="30">
                  <c:v>25336.961538461539</c:v>
                </c:pt>
                <c:pt idx="31">
                  <c:v>21002.296296296296</c:v>
                </c:pt>
                <c:pt idx="32">
                  <c:v>20204.76923076923</c:v>
                </c:pt>
                <c:pt idx="33">
                  <c:v>19553.384615384617</c:v>
                </c:pt>
                <c:pt idx="34">
                  <c:v>21029.615384615383</c:v>
                </c:pt>
                <c:pt idx="35">
                  <c:v>18551.192307692309</c:v>
                </c:pt>
                <c:pt idx="36">
                  <c:v>17329.64</c:v>
                </c:pt>
                <c:pt idx="37">
                  <c:v>15558.28</c:v>
                </c:pt>
                <c:pt idx="38">
                  <c:v>14429.24</c:v>
                </c:pt>
                <c:pt idx="39">
                  <c:v>13253.8</c:v>
                </c:pt>
                <c:pt idx="40">
                  <c:v>12526.192307692309</c:v>
                </c:pt>
                <c:pt idx="41">
                  <c:v>11191</c:v>
                </c:pt>
                <c:pt idx="42">
                  <c:v>10145</c:v>
                </c:pt>
                <c:pt idx="43">
                  <c:v>9911</c:v>
                </c:pt>
                <c:pt idx="44">
                  <c:v>9469</c:v>
                </c:pt>
                <c:pt idx="45">
                  <c:v>10591</c:v>
                </c:pt>
                <c:pt idx="46">
                  <c:v>10689</c:v>
                </c:pt>
                <c:pt idx="47">
                  <c:v>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4-45C1-AB1B-6D3CF62F39F1}"/>
            </c:ext>
          </c:extLst>
        </c:ser>
        <c:ser>
          <c:idx val="3"/>
          <c:order val="1"/>
          <c:tx>
            <c:strRef>
              <c:f>データシート!$C$109</c:f>
              <c:strCache>
                <c:ptCount val="1"/>
                <c:pt idx="0">
                  <c:v>雑誌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strRef>
              <c:f>データシート!$D$107:$AY$107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データシート!$D$109:$AY$109</c:f>
              <c:numCache>
                <c:formatCode>#,##0_);[Red]\(#,##0\)</c:formatCode>
                <c:ptCount val="48"/>
                <c:pt idx="0">
                  <c:v>13080.153846153846</c:v>
                </c:pt>
                <c:pt idx="1">
                  <c:v>17356.615384615383</c:v>
                </c:pt>
                <c:pt idx="2">
                  <c:v>16993.354838709678</c:v>
                </c:pt>
                <c:pt idx="3">
                  <c:v>18670.258064516129</c:v>
                </c:pt>
                <c:pt idx="4">
                  <c:v>16632.861111111109</c:v>
                </c:pt>
                <c:pt idx="5">
                  <c:v>19847.027027027027</c:v>
                </c:pt>
                <c:pt idx="6">
                  <c:v>24586.783783783783</c:v>
                </c:pt>
                <c:pt idx="7">
                  <c:v>27201.432432432433</c:v>
                </c:pt>
                <c:pt idx="8">
                  <c:v>29482.64864864865</c:v>
                </c:pt>
                <c:pt idx="9">
                  <c:v>26746.564102564102</c:v>
                </c:pt>
                <c:pt idx="10">
                  <c:v>28044.358974358973</c:v>
                </c:pt>
                <c:pt idx="11">
                  <c:v>27820.552631578947</c:v>
                </c:pt>
                <c:pt idx="12">
                  <c:v>26784.315789473683</c:v>
                </c:pt>
                <c:pt idx="13">
                  <c:v>27465.63157894737</c:v>
                </c:pt>
                <c:pt idx="14">
                  <c:v>27608.42105263158</c:v>
                </c:pt>
                <c:pt idx="15">
                  <c:v>30223.25641025641</c:v>
                </c:pt>
                <c:pt idx="16">
                  <c:v>32652.684210526317</c:v>
                </c:pt>
                <c:pt idx="17">
                  <c:v>34603.92105263158</c:v>
                </c:pt>
                <c:pt idx="18">
                  <c:v>35021.42105263158</c:v>
                </c:pt>
                <c:pt idx="19">
                  <c:v>31257.07894736842</c:v>
                </c:pt>
                <c:pt idx="20">
                  <c:v>31113.92105263158</c:v>
                </c:pt>
                <c:pt idx="21">
                  <c:v>34107.552631578947</c:v>
                </c:pt>
                <c:pt idx="22">
                  <c:v>37355.51282051282</c:v>
                </c:pt>
                <c:pt idx="23">
                  <c:v>41860.51282051282</c:v>
                </c:pt>
                <c:pt idx="24">
                  <c:v>42969.743589743586</c:v>
                </c:pt>
                <c:pt idx="25">
                  <c:v>39479.076923076922</c:v>
                </c:pt>
                <c:pt idx="26">
                  <c:v>37473.48717948718</c:v>
                </c:pt>
                <c:pt idx="27">
                  <c:v>39965.91891891892</c:v>
                </c:pt>
                <c:pt idx="28">
                  <c:v>39795.769230769234</c:v>
                </c:pt>
                <c:pt idx="29">
                  <c:v>32525.538461538461</c:v>
                </c:pt>
                <c:pt idx="30">
                  <c:v>27494.346153846152</c:v>
                </c:pt>
                <c:pt idx="31">
                  <c:v>20816.296296296296</c:v>
                </c:pt>
                <c:pt idx="32">
                  <c:v>19124.576923076922</c:v>
                </c:pt>
                <c:pt idx="33">
                  <c:v>16849.346153846152</c:v>
                </c:pt>
                <c:pt idx="34">
                  <c:v>15850.076923076924</c:v>
                </c:pt>
                <c:pt idx="35">
                  <c:v>14096.307692307691</c:v>
                </c:pt>
                <c:pt idx="36">
                  <c:v>12818.52</c:v>
                </c:pt>
                <c:pt idx="37">
                  <c:v>10367.36</c:v>
                </c:pt>
                <c:pt idx="38">
                  <c:v>10000.44</c:v>
                </c:pt>
                <c:pt idx="39">
                  <c:v>9327.4</c:v>
                </c:pt>
                <c:pt idx="40">
                  <c:v>8709.4230769230762</c:v>
                </c:pt>
                <c:pt idx="41">
                  <c:v>7327</c:v>
                </c:pt>
                <c:pt idx="42">
                  <c:v>6315</c:v>
                </c:pt>
                <c:pt idx="43">
                  <c:v>6186</c:v>
                </c:pt>
                <c:pt idx="44">
                  <c:v>5921</c:v>
                </c:pt>
                <c:pt idx="45">
                  <c:v>5242</c:v>
                </c:pt>
                <c:pt idx="46">
                  <c:v>5114</c:v>
                </c:pt>
                <c:pt idx="47">
                  <c:v>4808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4-45C1-AB1B-6D3CF62F39F1}"/>
            </c:ext>
          </c:extLst>
        </c:ser>
        <c:ser>
          <c:idx val="1"/>
          <c:order val="2"/>
          <c:tx>
            <c:strRef>
              <c:f>データシート!$C$110</c:f>
              <c:strCache>
                <c:ptCount val="1"/>
                <c:pt idx="0">
                  <c:v>電子ジャーナル</c:v>
                </c:pt>
              </c:strCache>
            </c:strRef>
          </c:tx>
          <c:invertIfNegative val="0"/>
          <c:cat>
            <c:strRef>
              <c:f>データシート!$D$107:$AY$107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データシート!$D$110:$AY$110</c:f>
              <c:numCache>
                <c:formatCode>#,##0_);[Red]\(#,##0\)</c:formatCode>
                <c:ptCount val="48"/>
                <c:pt idx="29">
                  <c:v>7782.4230769230771</c:v>
                </c:pt>
                <c:pt idx="30">
                  <c:v>9249.7692307692305</c:v>
                </c:pt>
                <c:pt idx="31">
                  <c:v>14157.666666666666</c:v>
                </c:pt>
                <c:pt idx="32">
                  <c:v>16638.384615384617</c:v>
                </c:pt>
                <c:pt idx="33">
                  <c:v>18744.76923076923</c:v>
                </c:pt>
                <c:pt idx="34">
                  <c:v>20412.73076923077</c:v>
                </c:pt>
                <c:pt idx="35">
                  <c:v>19517.846153846152</c:v>
                </c:pt>
                <c:pt idx="36">
                  <c:v>20773.439999999999</c:v>
                </c:pt>
                <c:pt idx="37">
                  <c:v>21858.32</c:v>
                </c:pt>
                <c:pt idx="38">
                  <c:v>23378.12</c:v>
                </c:pt>
                <c:pt idx="39">
                  <c:v>26924.2</c:v>
                </c:pt>
                <c:pt idx="40">
                  <c:v>29570.76923076923</c:v>
                </c:pt>
                <c:pt idx="41">
                  <c:v>30059</c:v>
                </c:pt>
                <c:pt idx="42">
                  <c:v>31039</c:v>
                </c:pt>
                <c:pt idx="43">
                  <c:v>32584</c:v>
                </c:pt>
                <c:pt idx="44">
                  <c:v>31968</c:v>
                </c:pt>
                <c:pt idx="45">
                  <c:v>33026</c:v>
                </c:pt>
                <c:pt idx="46">
                  <c:v>33516</c:v>
                </c:pt>
                <c:pt idx="47">
                  <c:v>36466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A4-45C1-AB1B-6D3CF62F39F1}"/>
            </c:ext>
          </c:extLst>
        </c:ser>
        <c:ser>
          <c:idx val="2"/>
          <c:order val="3"/>
          <c:tx>
            <c:strRef>
              <c:f>データシート!$C$111</c:f>
              <c:strCache>
                <c:ptCount val="1"/>
                <c:pt idx="0">
                  <c:v>電子書籍</c:v>
                </c:pt>
              </c:strCache>
            </c:strRef>
          </c:tx>
          <c:invertIfNegative val="0"/>
          <c:cat>
            <c:strRef>
              <c:f>データシート!$D$107:$AY$107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データシート!$D$111:$AY$111</c:f>
              <c:numCache>
                <c:formatCode>#,##0_);[Red]\(#,##0\)</c:formatCode>
                <c:ptCount val="48"/>
                <c:pt idx="35">
                  <c:v>1243.9230769230769</c:v>
                </c:pt>
                <c:pt idx="36">
                  <c:v>602.24</c:v>
                </c:pt>
                <c:pt idx="37">
                  <c:v>566.16</c:v>
                </c:pt>
                <c:pt idx="38">
                  <c:v>1108.48</c:v>
                </c:pt>
                <c:pt idx="39">
                  <c:v>709.6</c:v>
                </c:pt>
                <c:pt idx="40">
                  <c:v>1426.1153846153845</c:v>
                </c:pt>
                <c:pt idx="41">
                  <c:v>844</c:v>
                </c:pt>
                <c:pt idx="42">
                  <c:v>852</c:v>
                </c:pt>
                <c:pt idx="43">
                  <c:v>961</c:v>
                </c:pt>
                <c:pt idx="44">
                  <c:v>1187</c:v>
                </c:pt>
                <c:pt idx="45">
                  <c:v>2082</c:v>
                </c:pt>
                <c:pt idx="46">
                  <c:v>2595</c:v>
                </c:pt>
                <c:pt idx="47">
                  <c:v>2198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A4-45C1-AB1B-6D3CF62F39F1}"/>
            </c:ext>
          </c:extLst>
        </c:ser>
        <c:ser>
          <c:idx val="4"/>
          <c:order val="4"/>
          <c:tx>
            <c:strRef>
              <c:f>データシート!$C$112</c:f>
              <c:strCache>
                <c:ptCount val="1"/>
                <c:pt idx="0">
                  <c:v>データベース</c:v>
                </c:pt>
              </c:strCache>
            </c:strRef>
          </c:tx>
          <c:invertIfNegative val="0"/>
          <c:cat>
            <c:strRef>
              <c:f>データシート!$D$107:$AY$107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データシート!$D$112:$AY$112</c:f>
              <c:numCache>
                <c:formatCode>#,##0_);[Red]\(#,##0\)</c:formatCode>
                <c:ptCount val="48"/>
                <c:pt idx="35">
                  <c:v>4714.6538461538457</c:v>
                </c:pt>
                <c:pt idx="36">
                  <c:v>4976.32</c:v>
                </c:pt>
                <c:pt idx="37">
                  <c:v>5279.32</c:v>
                </c:pt>
                <c:pt idx="38">
                  <c:v>5978.48</c:v>
                </c:pt>
                <c:pt idx="39">
                  <c:v>6348.2</c:v>
                </c:pt>
                <c:pt idx="40">
                  <c:v>7316.4230769230771</c:v>
                </c:pt>
                <c:pt idx="41">
                  <c:v>7640</c:v>
                </c:pt>
                <c:pt idx="42">
                  <c:v>8040</c:v>
                </c:pt>
                <c:pt idx="43">
                  <c:v>7632</c:v>
                </c:pt>
                <c:pt idx="44">
                  <c:v>7781</c:v>
                </c:pt>
                <c:pt idx="45">
                  <c:v>8166</c:v>
                </c:pt>
                <c:pt idx="46">
                  <c:v>7744</c:v>
                </c:pt>
                <c:pt idx="47">
                  <c:v>8248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A4-45C1-AB1B-6D3CF62F39F1}"/>
            </c:ext>
          </c:extLst>
        </c:ser>
        <c:ser>
          <c:idx val="5"/>
          <c:order val="5"/>
          <c:tx>
            <c:strRef>
              <c:f>データシート!$C$113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データシート!$D$107:$AY$107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データシート!$D$113:$AY$113</c:f>
              <c:numCache>
                <c:formatCode>#,##0_);[Red]\(#,##0\)</c:formatCode>
                <c:ptCount val="48"/>
                <c:pt idx="0">
                  <c:v>1509.6923076923076</c:v>
                </c:pt>
                <c:pt idx="1">
                  <c:v>1649.1923076923076</c:v>
                </c:pt>
                <c:pt idx="2">
                  <c:v>2033.7096774193549</c:v>
                </c:pt>
                <c:pt idx="3">
                  <c:v>2890.8387096774195</c:v>
                </c:pt>
                <c:pt idx="4">
                  <c:v>2477.0833333333335</c:v>
                </c:pt>
                <c:pt idx="5">
                  <c:v>2943.7027027027025</c:v>
                </c:pt>
                <c:pt idx="6">
                  <c:v>3161.5945945945946</c:v>
                </c:pt>
                <c:pt idx="7">
                  <c:v>3476.0270270270271</c:v>
                </c:pt>
                <c:pt idx="8">
                  <c:v>3572.6216216216217</c:v>
                </c:pt>
                <c:pt idx="9">
                  <c:v>3014.1794871794873</c:v>
                </c:pt>
                <c:pt idx="10">
                  <c:v>3248.6923076923076</c:v>
                </c:pt>
                <c:pt idx="11">
                  <c:v>3997.4473684210525</c:v>
                </c:pt>
                <c:pt idx="12">
                  <c:v>4371.8157894736842</c:v>
                </c:pt>
                <c:pt idx="13">
                  <c:v>4686.105263157895</c:v>
                </c:pt>
                <c:pt idx="14">
                  <c:v>4857.5263157894733</c:v>
                </c:pt>
                <c:pt idx="15">
                  <c:v>4472.9743589743593</c:v>
                </c:pt>
                <c:pt idx="16">
                  <c:v>4984.1842105263158</c:v>
                </c:pt>
                <c:pt idx="17">
                  <c:v>6274.2894736842109</c:v>
                </c:pt>
                <c:pt idx="18">
                  <c:v>6335.8157894736842</c:v>
                </c:pt>
                <c:pt idx="19">
                  <c:v>7303.4473684210525</c:v>
                </c:pt>
                <c:pt idx="20">
                  <c:v>7323.394736842105</c:v>
                </c:pt>
                <c:pt idx="21">
                  <c:v>7927.3684210526317</c:v>
                </c:pt>
                <c:pt idx="22">
                  <c:v>8817</c:v>
                </c:pt>
                <c:pt idx="23">
                  <c:v>8824.8205128205136</c:v>
                </c:pt>
                <c:pt idx="24">
                  <c:v>9191.461538461539</c:v>
                </c:pt>
                <c:pt idx="25">
                  <c:v>9831.1538461538457</c:v>
                </c:pt>
                <c:pt idx="26">
                  <c:v>8698.3589743589746</c:v>
                </c:pt>
                <c:pt idx="27">
                  <c:v>9545.1621621621616</c:v>
                </c:pt>
                <c:pt idx="28">
                  <c:v>12142.807692307691</c:v>
                </c:pt>
                <c:pt idx="29">
                  <c:v>9271</c:v>
                </c:pt>
                <c:pt idx="30">
                  <c:v>9049.1153846153848</c:v>
                </c:pt>
                <c:pt idx="31">
                  <c:v>7981.1851851851852</c:v>
                </c:pt>
                <c:pt idx="32">
                  <c:v>6603.8076923076924</c:v>
                </c:pt>
                <c:pt idx="33">
                  <c:v>7355.8846153846152</c:v>
                </c:pt>
                <c:pt idx="34">
                  <c:v>7691.2307692307695</c:v>
                </c:pt>
                <c:pt idx="35">
                  <c:v>4202.2692307692305</c:v>
                </c:pt>
                <c:pt idx="36">
                  <c:v>3046.52</c:v>
                </c:pt>
                <c:pt idx="37">
                  <c:v>3433.72</c:v>
                </c:pt>
                <c:pt idx="38">
                  <c:v>3339.56</c:v>
                </c:pt>
                <c:pt idx="39">
                  <c:v>3537</c:v>
                </c:pt>
                <c:pt idx="40">
                  <c:v>2811.7692307692309</c:v>
                </c:pt>
                <c:pt idx="41">
                  <c:v>2235</c:v>
                </c:pt>
                <c:pt idx="42">
                  <c:v>2233</c:v>
                </c:pt>
                <c:pt idx="43">
                  <c:v>2403</c:v>
                </c:pt>
                <c:pt idx="44">
                  <c:v>2498</c:v>
                </c:pt>
                <c:pt idx="45">
                  <c:v>2592</c:v>
                </c:pt>
                <c:pt idx="46">
                  <c:v>2071</c:v>
                </c:pt>
                <c:pt idx="47">
                  <c:v>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A4-45C1-AB1B-6D3CF62F3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5210240"/>
        <c:axId val="215212416"/>
      </c:barChart>
      <c:lineChart>
        <c:grouping val="standard"/>
        <c:varyColors val="0"/>
        <c:ser>
          <c:idx val="6"/>
          <c:order val="6"/>
          <c:tx>
            <c:strRef>
              <c:f>データシート!$C$115</c:f>
              <c:strCache>
                <c:ptCount val="1"/>
                <c:pt idx="0">
                  <c:v>対大学総経費比率</c:v>
                </c:pt>
              </c:strCache>
            </c:strRef>
          </c:tx>
          <c:cat>
            <c:strRef>
              <c:f>データシート!$D$107:$AY$107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データシート!$D$115:$AY$115</c:f>
              <c:numCache>
                <c:formatCode>#,##0.00_);[Red]\(#,##0.00\)</c:formatCode>
                <c:ptCount val="48"/>
                <c:pt idx="0">
                  <c:v>2.3001917228612987</c:v>
                </c:pt>
                <c:pt idx="1">
                  <c:v>2.3062552956345557</c:v>
                </c:pt>
                <c:pt idx="2">
                  <c:v>2.1308484962351679</c:v>
                </c:pt>
                <c:pt idx="3">
                  <c:v>1.9171937920376136</c:v>
                </c:pt>
                <c:pt idx="4">
                  <c:v>1.6233341438587594</c:v>
                </c:pt>
                <c:pt idx="5">
                  <c:v>1.8952393320728838</c:v>
                </c:pt>
                <c:pt idx="6">
                  <c:v>1.7567366482761411</c:v>
                </c:pt>
                <c:pt idx="7">
                  <c:v>1.7554620449148886</c:v>
                </c:pt>
                <c:pt idx="8">
                  <c:v>1.5310819908876088</c:v>
                </c:pt>
                <c:pt idx="9">
                  <c:v>1.384367526505097</c:v>
                </c:pt>
                <c:pt idx="10">
                  <c:v>1.2984062051843464</c:v>
                </c:pt>
                <c:pt idx="11">
                  <c:v>1.3347112404164994</c:v>
                </c:pt>
                <c:pt idx="12">
                  <c:v>1.2276100730300599</c:v>
                </c:pt>
                <c:pt idx="13">
                  <c:v>1.272725018747185</c:v>
                </c:pt>
                <c:pt idx="14">
                  <c:v>1.1786818850658802</c:v>
                </c:pt>
                <c:pt idx="15">
                  <c:v>1.1854309874026672</c:v>
                </c:pt>
                <c:pt idx="16">
                  <c:v>1.097996380871898</c:v>
                </c:pt>
                <c:pt idx="17">
                  <c:v>1.1098428727486029</c:v>
                </c:pt>
                <c:pt idx="18">
                  <c:v>0.99938757663571753</c:v>
                </c:pt>
                <c:pt idx="19">
                  <c:v>0.97143478217389967</c:v>
                </c:pt>
                <c:pt idx="20">
                  <c:v>0.93549534174491911</c:v>
                </c:pt>
                <c:pt idx="21">
                  <c:v>0.96039936950047788</c:v>
                </c:pt>
                <c:pt idx="22">
                  <c:v>1.0153667447343906</c:v>
                </c:pt>
                <c:pt idx="23">
                  <c:v>0.99906243448164467</c:v>
                </c:pt>
                <c:pt idx="24">
                  <c:v>1.0143204685012543</c:v>
                </c:pt>
                <c:pt idx="25">
                  <c:v>0.98872345641361437</c:v>
                </c:pt>
                <c:pt idx="26">
                  <c:v>0.95753263568996438</c:v>
                </c:pt>
                <c:pt idx="27">
                  <c:v>0.98030581814089779</c:v>
                </c:pt>
                <c:pt idx="28">
                  <c:v>1.1981195353891043</c:v>
                </c:pt>
                <c:pt idx="29">
                  <c:v>1.0310543386230639</c:v>
                </c:pt>
                <c:pt idx="30">
                  <c:v>0.78914568121225792</c:v>
                </c:pt>
                <c:pt idx="31">
                  <c:v>0.88391382246267547</c:v>
                </c:pt>
                <c:pt idx="32">
                  <c:v>0.79366033378869705</c:v>
                </c:pt>
                <c:pt idx="33">
                  <c:v>0.78582307642330196</c:v>
                </c:pt>
                <c:pt idx="34">
                  <c:v>0.75541195104158865</c:v>
                </c:pt>
                <c:pt idx="35">
                  <c:v>0.78458429159973631</c:v>
                </c:pt>
                <c:pt idx="36">
                  <c:v>0.72098917897998782</c:v>
                </c:pt>
                <c:pt idx="37">
                  <c:v>0.70811370924896644</c:v>
                </c:pt>
                <c:pt idx="38">
                  <c:v>0.66026608688198618</c:v>
                </c:pt>
                <c:pt idx="39">
                  <c:v>0.68560372223950705</c:v>
                </c:pt>
                <c:pt idx="40">
                  <c:v>0.72287166900559885</c:v>
                </c:pt>
                <c:pt idx="41">
                  <c:v>0.70640975755053392</c:v>
                </c:pt>
                <c:pt idx="42" formatCode="#,##0.000;[Red]\-#,##0.000">
                  <c:v>0.68954419060953642</c:v>
                </c:pt>
                <c:pt idx="43" formatCode="#,##0.000;[Red]\-#,##0.000">
                  <c:v>0.68565513736264594</c:v>
                </c:pt>
                <c:pt idx="44" formatCode="#,##0.000;[Red]\-#,##0.000">
                  <c:v>0.65681188851981986</c:v>
                </c:pt>
                <c:pt idx="45" formatCode="#,##0.000;[Red]\-#,##0.000">
                  <c:v>0.69846655281324987</c:v>
                </c:pt>
                <c:pt idx="46" formatCode="#,##0.000;[Red]\-#,##0.000">
                  <c:v>0.67475180634989984</c:v>
                </c:pt>
                <c:pt idx="47" formatCode="#,##0.000;[Red]\-#,##0.000">
                  <c:v>0.69845937644131029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AA4-45C1-AB1B-6D3CF62F3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076320"/>
        <c:axId val="707070088"/>
      </c:lineChart>
      <c:catAx>
        <c:axId val="215210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96614797979797995"/>
              <c:y val="0.9559471365638769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15212416"/>
        <c:crosses val="autoZero"/>
        <c:auto val="1"/>
        <c:lblAlgn val="ctr"/>
        <c:lblOffset val="100"/>
        <c:noMultiLvlLbl val="0"/>
      </c:catAx>
      <c:valAx>
        <c:axId val="2152124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2.55882828282828E-2"/>
              <c:y val="6.3016021675704595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15210240"/>
        <c:crosses val="autoZero"/>
        <c:crossBetween val="between"/>
        <c:dispUnits>
          <c:builtInUnit val="thousands"/>
        </c:dispUnits>
      </c:valAx>
      <c:valAx>
        <c:axId val="707070088"/>
        <c:scaling>
          <c:orientation val="minMax"/>
        </c:scaling>
        <c:delete val="0"/>
        <c:axPos val="r"/>
        <c:numFmt formatCode="#,##0.0;[Red]\-#,##0.0" sourceLinked="0"/>
        <c:majorTickMark val="out"/>
        <c:minorTickMark val="none"/>
        <c:tickLblPos val="nextTo"/>
        <c:crossAx val="707076320"/>
        <c:crosses val="max"/>
        <c:crossBetween val="between"/>
      </c:valAx>
      <c:catAx>
        <c:axId val="707076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70700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2561898483750884"/>
          <c:y val="6.039598596002909E-2"/>
          <c:w val="0.13088558856916288"/>
          <c:h val="0.28611634949024911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39370078740157483" l="0.39370078740157483" r="0.39370078740157483" t="0.78740157480314965" header="0.31496062992125984" footer="0.31496062992125984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図書館資料費の推移</a:t>
            </a:r>
            <a:r>
              <a:rPr lang="ja-JP" altLang="en-US" baseline="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： 公立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 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1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大学あたり平均額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2493737373737399E-2"/>
          <c:y val="0.100394278908969"/>
          <c:w val="0.91354797979797997"/>
          <c:h val="0.84462266005295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データシート!$C$127</c:f>
              <c:strCache>
                <c:ptCount val="1"/>
                <c:pt idx="0">
                  <c:v>図書</c:v>
                </c:pt>
              </c:strCache>
            </c:strRef>
          </c:tx>
          <c:invertIfNegative val="0"/>
          <c:cat>
            <c:strRef>
              <c:f>データシート!$D$126:$AY$126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データシート!$D$127:$AY$127</c:f>
              <c:numCache>
                <c:formatCode>#,##0_);[Red]\(#,##0\)</c:formatCode>
                <c:ptCount val="48"/>
                <c:pt idx="0">
                  <c:v>18219</c:v>
                </c:pt>
                <c:pt idx="1">
                  <c:v>19890</c:v>
                </c:pt>
                <c:pt idx="2">
                  <c:v>22311</c:v>
                </c:pt>
                <c:pt idx="3">
                  <c:v>21881</c:v>
                </c:pt>
                <c:pt idx="4">
                  <c:v>24581</c:v>
                </c:pt>
                <c:pt idx="5">
                  <c:v>28097</c:v>
                </c:pt>
                <c:pt idx="6">
                  <c:v>30029</c:v>
                </c:pt>
                <c:pt idx="7">
                  <c:v>32738</c:v>
                </c:pt>
                <c:pt idx="8">
                  <c:v>30905</c:v>
                </c:pt>
                <c:pt idx="9">
                  <c:v>31276</c:v>
                </c:pt>
                <c:pt idx="10">
                  <c:v>28455</c:v>
                </c:pt>
                <c:pt idx="11">
                  <c:v>26307</c:v>
                </c:pt>
                <c:pt idx="12">
                  <c:v>26855</c:v>
                </c:pt>
                <c:pt idx="13">
                  <c:v>29193</c:v>
                </c:pt>
                <c:pt idx="14">
                  <c:v>32399</c:v>
                </c:pt>
                <c:pt idx="15">
                  <c:v>30609</c:v>
                </c:pt>
                <c:pt idx="16">
                  <c:v>30577</c:v>
                </c:pt>
                <c:pt idx="17">
                  <c:v>49936</c:v>
                </c:pt>
                <c:pt idx="18">
                  <c:v>40835</c:v>
                </c:pt>
                <c:pt idx="19">
                  <c:v>48359</c:v>
                </c:pt>
                <c:pt idx="20">
                  <c:v>45249</c:v>
                </c:pt>
                <c:pt idx="21">
                  <c:v>42328</c:v>
                </c:pt>
                <c:pt idx="22">
                  <c:v>41644</c:v>
                </c:pt>
                <c:pt idx="23">
                  <c:v>31454</c:v>
                </c:pt>
                <c:pt idx="24">
                  <c:v>43494</c:v>
                </c:pt>
                <c:pt idx="25">
                  <c:v>31871</c:v>
                </c:pt>
                <c:pt idx="26">
                  <c:v>29064</c:v>
                </c:pt>
                <c:pt idx="27">
                  <c:v>24914</c:v>
                </c:pt>
                <c:pt idx="28">
                  <c:v>22214</c:v>
                </c:pt>
                <c:pt idx="29">
                  <c:v>21748</c:v>
                </c:pt>
                <c:pt idx="30">
                  <c:v>18328</c:v>
                </c:pt>
                <c:pt idx="31">
                  <c:v>18016</c:v>
                </c:pt>
                <c:pt idx="32">
                  <c:v>16750</c:v>
                </c:pt>
                <c:pt idx="33">
                  <c:v>15314</c:v>
                </c:pt>
                <c:pt idx="34">
                  <c:v>14662</c:v>
                </c:pt>
                <c:pt idx="35">
                  <c:v>15337</c:v>
                </c:pt>
                <c:pt idx="36">
                  <c:v>14724</c:v>
                </c:pt>
                <c:pt idx="37">
                  <c:v>12979</c:v>
                </c:pt>
                <c:pt idx="38">
                  <c:v>11496</c:v>
                </c:pt>
                <c:pt idx="39">
                  <c:v>11054</c:v>
                </c:pt>
                <c:pt idx="40">
                  <c:v>10232</c:v>
                </c:pt>
                <c:pt idx="41">
                  <c:v>9450</c:v>
                </c:pt>
                <c:pt idx="42">
                  <c:v>9862</c:v>
                </c:pt>
                <c:pt idx="43">
                  <c:v>9220</c:v>
                </c:pt>
                <c:pt idx="44">
                  <c:v>9106</c:v>
                </c:pt>
                <c:pt idx="45">
                  <c:v>8977</c:v>
                </c:pt>
                <c:pt idx="46">
                  <c:v>8264</c:v>
                </c:pt>
                <c:pt idx="47">
                  <c:v>7247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A-4D71-B845-366AAB48CEC0}"/>
            </c:ext>
          </c:extLst>
        </c:ser>
        <c:ser>
          <c:idx val="3"/>
          <c:order val="1"/>
          <c:tx>
            <c:strRef>
              <c:f>データシート!$C$128</c:f>
              <c:strCache>
                <c:ptCount val="1"/>
                <c:pt idx="0">
                  <c:v>雑誌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strRef>
              <c:f>データシート!$D$126:$AY$126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データシート!$D$128:$AY$128</c:f>
              <c:numCache>
                <c:formatCode>#,##0_);[Red]\(#,##0\)</c:formatCode>
                <c:ptCount val="48"/>
                <c:pt idx="0">
                  <c:v>10802</c:v>
                </c:pt>
                <c:pt idx="1">
                  <c:v>12632</c:v>
                </c:pt>
                <c:pt idx="2">
                  <c:v>13740</c:v>
                </c:pt>
                <c:pt idx="3">
                  <c:v>14892</c:v>
                </c:pt>
                <c:pt idx="4">
                  <c:v>15792</c:v>
                </c:pt>
                <c:pt idx="5">
                  <c:v>17639</c:v>
                </c:pt>
                <c:pt idx="6">
                  <c:v>19726</c:v>
                </c:pt>
                <c:pt idx="7">
                  <c:v>21810</c:v>
                </c:pt>
                <c:pt idx="8">
                  <c:v>24219</c:v>
                </c:pt>
                <c:pt idx="9">
                  <c:v>23295</c:v>
                </c:pt>
                <c:pt idx="10">
                  <c:v>20798</c:v>
                </c:pt>
                <c:pt idx="11">
                  <c:v>21439</c:v>
                </c:pt>
                <c:pt idx="12">
                  <c:v>20496</c:v>
                </c:pt>
                <c:pt idx="13">
                  <c:v>21074</c:v>
                </c:pt>
                <c:pt idx="14">
                  <c:v>20694</c:v>
                </c:pt>
                <c:pt idx="15">
                  <c:v>23421</c:v>
                </c:pt>
                <c:pt idx="16">
                  <c:v>26905</c:v>
                </c:pt>
                <c:pt idx="17">
                  <c:v>26854</c:v>
                </c:pt>
                <c:pt idx="18">
                  <c:v>29544</c:v>
                </c:pt>
                <c:pt idx="19">
                  <c:v>25994</c:v>
                </c:pt>
                <c:pt idx="20">
                  <c:v>26922</c:v>
                </c:pt>
                <c:pt idx="21">
                  <c:v>27499</c:v>
                </c:pt>
                <c:pt idx="22">
                  <c:v>27574</c:v>
                </c:pt>
                <c:pt idx="23">
                  <c:v>27095</c:v>
                </c:pt>
                <c:pt idx="24">
                  <c:v>30132</c:v>
                </c:pt>
                <c:pt idx="25">
                  <c:v>26751</c:v>
                </c:pt>
                <c:pt idx="26">
                  <c:v>24730</c:v>
                </c:pt>
                <c:pt idx="27">
                  <c:v>26628</c:v>
                </c:pt>
                <c:pt idx="28">
                  <c:v>26518</c:v>
                </c:pt>
                <c:pt idx="29">
                  <c:v>26150</c:v>
                </c:pt>
                <c:pt idx="30">
                  <c:v>21895</c:v>
                </c:pt>
                <c:pt idx="31">
                  <c:v>20777</c:v>
                </c:pt>
                <c:pt idx="32">
                  <c:v>18776</c:v>
                </c:pt>
                <c:pt idx="33">
                  <c:v>16701</c:v>
                </c:pt>
                <c:pt idx="34">
                  <c:v>14598</c:v>
                </c:pt>
                <c:pt idx="35">
                  <c:v>12889</c:v>
                </c:pt>
                <c:pt idx="36">
                  <c:v>11651</c:v>
                </c:pt>
                <c:pt idx="37">
                  <c:v>10710</c:v>
                </c:pt>
                <c:pt idx="38">
                  <c:v>10004</c:v>
                </c:pt>
                <c:pt idx="39">
                  <c:v>10287</c:v>
                </c:pt>
                <c:pt idx="40">
                  <c:v>9747</c:v>
                </c:pt>
                <c:pt idx="41">
                  <c:v>9334</c:v>
                </c:pt>
                <c:pt idx="42">
                  <c:v>8060</c:v>
                </c:pt>
                <c:pt idx="43">
                  <c:v>8026</c:v>
                </c:pt>
                <c:pt idx="44">
                  <c:v>7496</c:v>
                </c:pt>
                <c:pt idx="45">
                  <c:v>7002</c:v>
                </c:pt>
                <c:pt idx="46">
                  <c:v>6818</c:v>
                </c:pt>
                <c:pt idx="47">
                  <c:v>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EA-4D71-B845-366AAB48CEC0}"/>
            </c:ext>
          </c:extLst>
        </c:ser>
        <c:ser>
          <c:idx val="1"/>
          <c:order val="2"/>
          <c:tx>
            <c:strRef>
              <c:f>データシート!$C$129</c:f>
              <c:strCache>
                <c:ptCount val="1"/>
                <c:pt idx="0">
                  <c:v>電子ジャーナル</c:v>
                </c:pt>
              </c:strCache>
            </c:strRef>
          </c:tx>
          <c:invertIfNegative val="0"/>
          <c:cat>
            <c:strRef>
              <c:f>データシート!$D$126:$AY$126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データシート!$D$129:$AY$129</c:f>
              <c:numCache>
                <c:formatCode>#,##0_);[Red]\(#,##0\)</c:formatCode>
                <c:ptCount val="48"/>
                <c:pt idx="29">
                  <c:v>3312</c:v>
                </c:pt>
                <c:pt idx="30">
                  <c:v>3769</c:v>
                </c:pt>
                <c:pt idx="31">
                  <c:v>6528</c:v>
                </c:pt>
                <c:pt idx="32">
                  <c:v>9307</c:v>
                </c:pt>
                <c:pt idx="33">
                  <c:v>10921</c:v>
                </c:pt>
                <c:pt idx="34">
                  <c:v>11354</c:v>
                </c:pt>
                <c:pt idx="35">
                  <c:v>11898</c:v>
                </c:pt>
                <c:pt idx="36">
                  <c:v>12580</c:v>
                </c:pt>
                <c:pt idx="37">
                  <c:v>13301</c:v>
                </c:pt>
                <c:pt idx="38">
                  <c:v>14792</c:v>
                </c:pt>
                <c:pt idx="39">
                  <c:v>16233</c:v>
                </c:pt>
                <c:pt idx="40">
                  <c:v>18052</c:v>
                </c:pt>
                <c:pt idx="41">
                  <c:v>18460</c:v>
                </c:pt>
                <c:pt idx="42">
                  <c:v>18799</c:v>
                </c:pt>
                <c:pt idx="43">
                  <c:v>19566</c:v>
                </c:pt>
                <c:pt idx="44">
                  <c:v>20640</c:v>
                </c:pt>
                <c:pt idx="45">
                  <c:v>20423</c:v>
                </c:pt>
                <c:pt idx="46">
                  <c:v>21359</c:v>
                </c:pt>
                <c:pt idx="47">
                  <c:v>23136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EA-4D71-B845-366AAB48CEC0}"/>
            </c:ext>
          </c:extLst>
        </c:ser>
        <c:ser>
          <c:idx val="2"/>
          <c:order val="3"/>
          <c:tx>
            <c:strRef>
              <c:f>データシート!$C$130</c:f>
              <c:strCache>
                <c:ptCount val="1"/>
                <c:pt idx="0">
                  <c:v>電子書籍</c:v>
                </c:pt>
              </c:strCache>
            </c:strRef>
          </c:tx>
          <c:invertIfNegative val="0"/>
          <c:cat>
            <c:strRef>
              <c:f>データシート!$D$126:$AY$126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データシート!$D$130:$AY$130</c:f>
              <c:numCache>
                <c:formatCode>#,##0_);[Red]\(#,##0\)</c:formatCode>
                <c:ptCount val="48"/>
                <c:pt idx="35">
                  <c:v>426</c:v>
                </c:pt>
                <c:pt idx="36">
                  <c:v>336</c:v>
                </c:pt>
                <c:pt idx="37">
                  <c:v>276</c:v>
                </c:pt>
                <c:pt idx="38">
                  <c:v>482</c:v>
                </c:pt>
                <c:pt idx="39">
                  <c:v>421</c:v>
                </c:pt>
                <c:pt idx="40">
                  <c:v>465</c:v>
                </c:pt>
                <c:pt idx="41">
                  <c:v>587</c:v>
                </c:pt>
                <c:pt idx="42">
                  <c:v>835</c:v>
                </c:pt>
                <c:pt idx="43">
                  <c:v>691</c:v>
                </c:pt>
                <c:pt idx="44">
                  <c:v>880</c:v>
                </c:pt>
                <c:pt idx="45">
                  <c:v>1837</c:v>
                </c:pt>
                <c:pt idx="46">
                  <c:v>2230</c:v>
                </c:pt>
                <c:pt idx="47">
                  <c:v>1272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EA-4D71-B845-366AAB48CEC0}"/>
            </c:ext>
          </c:extLst>
        </c:ser>
        <c:ser>
          <c:idx val="4"/>
          <c:order val="4"/>
          <c:tx>
            <c:strRef>
              <c:f>データシート!$C$131</c:f>
              <c:strCache>
                <c:ptCount val="1"/>
                <c:pt idx="0">
                  <c:v>データベース</c:v>
                </c:pt>
              </c:strCache>
            </c:strRef>
          </c:tx>
          <c:invertIfNegative val="0"/>
          <c:cat>
            <c:strRef>
              <c:f>データシート!$D$126:$AY$126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データシート!$D$131:$AY$131</c:f>
              <c:numCache>
                <c:formatCode>#,##0_);[Red]\(#,##0\)</c:formatCode>
                <c:ptCount val="48"/>
                <c:pt idx="35">
                  <c:v>3356</c:v>
                </c:pt>
                <c:pt idx="36">
                  <c:v>3716</c:v>
                </c:pt>
                <c:pt idx="37">
                  <c:v>3803</c:v>
                </c:pt>
                <c:pt idx="38">
                  <c:v>4146</c:v>
                </c:pt>
                <c:pt idx="39">
                  <c:v>4258</c:v>
                </c:pt>
                <c:pt idx="40">
                  <c:v>4169</c:v>
                </c:pt>
                <c:pt idx="41">
                  <c:v>4007</c:v>
                </c:pt>
                <c:pt idx="42">
                  <c:v>4028</c:v>
                </c:pt>
                <c:pt idx="43">
                  <c:v>4131</c:v>
                </c:pt>
                <c:pt idx="44">
                  <c:v>4410</c:v>
                </c:pt>
                <c:pt idx="45">
                  <c:v>4689</c:v>
                </c:pt>
                <c:pt idx="46">
                  <c:v>5200</c:v>
                </c:pt>
                <c:pt idx="47">
                  <c:v>5108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EA-4D71-B845-366AAB48CEC0}"/>
            </c:ext>
          </c:extLst>
        </c:ser>
        <c:ser>
          <c:idx val="5"/>
          <c:order val="5"/>
          <c:tx>
            <c:strRef>
              <c:f>データシート!$C$132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データシート!$D$126:$AY$126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データシート!$D$132:$AY$132</c:f>
              <c:numCache>
                <c:formatCode>#,##0_);[Red]\(#,##0\)</c:formatCode>
                <c:ptCount val="48"/>
                <c:pt idx="0">
                  <c:v>598</c:v>
                </c:pt>
                <c:pt idx="1">
                  <c:v>353</c:v>
                </c:pt>
                <c:pt idx="2">
                  <c:v>458</c:v>
                </c:pt>
                <c:pt idx="3">
                  <c:v>703</c:v>
                </c:pt>
                <c:pt idx="4">
                  <c:v>934</c:v>
                </c:pt>
                <c:pt idx="5">
                  <c:v>644</c:v>
                </c:pt>
                <c:pt idx="6">
                  <c:v>1982</c:v>
                </c:pt>
                <c:pt idx="7">
                  <c:v>1064</c:v>
                </c:pt>
                <c:pt idx="8">
                  <c:v>1236</c:v>
                </c:pt>
                <c:pt idx="9">
                  <c:v>1668</c:v>
                </c:pt>
                <c:pt idx="10">
                  <c:v>946</c:v>
                </c:pt>
                <c:pt idx="11">
                  <c:v>1048</c:v>
                </c:pt>
                <c:pt idx="12">
                  <c:v>1282</c:v>
                </c:pt>
                <c:pt idx="13">
                  <c:v>1758</c:v>
                </c:pt>
                <c:pt idx="14">
                  <c:v>1734</c:v>
                </c:pt>
                <c:pt idx="15">
                  <c:v>1814</c:v>
                </c:pt>
                <c:pt idx="16">
                  <c:v>2527</c:v>
                </c:pt>
                <c:pt idx="17">
                  <c:v>2732</c:v>
                </c:pt>
                <c:pt idx="18">
                  <c:v>4249</c:v>
                </c:pt>
                <c:pt idx="19">
                  <c:v>5359</c:v>
                </c:pt>
                <c:pt idx="20">
                  <c:v>6691</c:v>
                </c:pt>
                <c:pt idx="21">
                  <c:v>6765</c:v>
                </c:pt>
                <c:pt idx="22">
                  <c:v>14494</c:v>
                </c:pt>
                <c:pt idx="23">
                  <c:v>4221</c:v>
                </c:pt>
                <c:pt idx="24">
                  <c:v>5033</c:v>
                </c:pt>
                <c:pt idx="25">
                  <c:v>3917</c:v>
                </c:pt>
                <c:pt idx="26">
                  <c:v>3898</c:v>
                </c:pt>
                <c:pt idx="27">
                  <c:v>4512</c:v>
                </c:pt>
                <c:pt idx="28">
                  <c:v>3153</c:v>
                </c:pt>
                <c:pt idx="29">
                  <c:v>2592</c:v>
                </c:pt>
                <c:pt idx="30">
                  <c:v>2897</c:v>
                </c:pt>
                <c:pt idx="31">
                  <c:v>3715</c:v>
                </c:pt>
                <c:pt idx="32">
                  <c:v>3720</c:v>
                </c:pt>
                <c:pt idx="33">
                  <c:v>3468</c:v>
                </c:pt>
                <c:pt idx="34">
                  <c:v>3777</c:v>
                </c:pt>
                <c:pt idx="35">
                  <c:v>1605</c:v>
                </c:pt>
                <c:pt idx="36">
                  <c:v>1503</c:v>
                </c:pt>
                <c:pt idx="37">
                  <c:v>1254</c:v>
                </c:pt>
                <c:pt idx="38">
                  <c:v>1193</c:v>
                </c:pt>
                <c:pt idx="39">
                  <c:v>1350</c:v>
                </c:pt>
                <c:pt idx="40">
                  <c:v>1370</c:v>
                </c:pt>
                <c:pt idx="41">
                  <c:v>1511</c:v>
                </c:pt>
                <c:pt idx="42">
                  <c:v>1339</c:v>
                </c:pt>
                <c:pt idx="43">
                  <c:v>1155</c:v>
                </c:pt>
                <c:pt idx="44">
                  <c:v>1175</c:v>
                </c:pt>
                <c:pt idx="45">
                  <c:v>1140</c:v>
                </c:pt>
                <c:pt idx="46">
                  <c:v>1165</c:v>
                </c:pt>
                <c:pt idx="47">
                  <c:v>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EA-4D71-B845-366AAB48C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5280640"/>
        <c:axId val="215295104"/>
      </c:barChart>
      <c:lineChart>
        <c:grouping val="standard"/>
        <c:varyColors val="0"/>
        <c:ser>
          <c:idx val="6"/>
          <c:order val="6"/>
          <c:tx>
            <c:strRef>
              <c:f>データシート!$C$134</c:f>
              <c:strCache>
                <c:ptCount val="1"/>
                <c:pt idx="0">
                  <c:v>対大学総経費比率</c:v>
                </c:pt>
              </c:strCache>
            </c:strRef>
          </c:tx>
          <c:cat>
            <c:strRef>
              <c:f>データシート!$D$126:$AY$126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データシート!$D$134:$AY$134</c:f>
              <c:numCache>
                <c:formatCode>#,##0.00_);[Red]\(#,##0.00\)</c:formatCode>
                <c:ptCount val="48"/>
                <c:pt idx="0">
                  <c:v>1.9121368624919304</c:v>
                </c:pt>
                <c:pt idx="1">
                  <c:v>1.9235810415447629</c:v>
                </c:pt>
                <c:pt idx="2">
                  <c:v>1.8994797086368365</c:v>
                </c:pt>
                <c:pt idx="3">
                  <c:v>1.7669024045261668</c:v>
                </c:pt>
                <c:pt idx="4">
                  <c:v>1.7209930571989482</c:v>
                </c:pt>
                <c:pt idx="5">
                  <c:v>1.4769872771462491</c:v>
                </c:pt>
                <c:pt idx="6">
                  <c:v>2.0058247503816871</c:v>
                </c:pt>
                <c:pt idx="7">
                  <c:v>2.095079296790531</c:v>
                </c:pt>
                <c:pt idx="8">
                  <c:v>2.0796104088264626</c:v>
                </c:pt>
                <c:pt idx="9">
                  <c:v>1.7520292466981418</c:v>
                </c:pt>
                <c:pt idx="10">
                  <c:v>1.5791589647054085</c:v>
                </c:pt>
                <c:pt idx="11">
                  <c:v>1.3121467289511028</c:v>
                </c:pt>
                <c:pt idx="12">
                  <c:v>1.4190417055228044</c:v>
                </c:pt>
                <c:pt idx="13">
                  <c:v>1.5400750456158465</c:v>
                </c:pt>
                <c:pt idx="14">
                  <c:v>1.1129280554978174</c:v>
                </c:pt>
                <c:pt idx="15">
                  <c:v>1.6406513953645518</c:v>
                </c:pt>
                <c:pt idx="16">
                  <c:v>1.3628986505238878</c:v>
                </c:pt>
                <c:pt idx="17">
                  <c:v>2.2827528181327312</c:v>
                </c:pt>
                <c:pt idx="18">
                  <c:v>1.928428329232063</c:v>
                </c:pt>
                <c:pt idx="19">
                  <c:v>2.0120448566029001</c:v>
                </c:pt>
                <c:pt idx="20">
                  <c:v>1.8358708805112558</c:v>
                </c:pt>
                <c:pt idx="21">
                  <c:v>1.9139383680510005</c:v>
                </c:pt>
                <c:pt idx="22">
                  <c:v>2.0103968487644197</c:v>
                </c:pt>
                <c:pt idx="23">
                  <c:v>0.96372745478674893</c:v>
                </c:pt>
                <c:pt idx="24">
                  <c:v>1.9344197306435065</c:v>
                </c:pt>
                <c:pt idx="25">
                  <c:v>1.6966993852381187</c:v>
                </c:pt>
                <c:pt idx="26">
                  <c:v>1.509067555622716</c:v>
                </c:pt>
                <c:pt idx="27">
                  <c:v>1.5070690070051527</c:v>
                </c:pt>
                <c:pt idx="28">
                  <c:v>1.3911306539399952</c:v>
                </c:pt>
                <c:pt idx="29">
                  <c:v>1.3567211940720045</c:v>
                </c:pt>
                <c:pt idx="30">
                  <c:v>1.2353429974396846</c:v>
                </c:pt>
                <c:pt idx="31">
                  <c:v>1.2461482747447536</c:v>
                </c:pt>
                <c:pt idx="32">
                  <c:v>1.2084282343910731</c:v>
                </c:pt>
                <c:pt idx="33">
                  <c:v>0.99318464386377159</c:v>
                </c:pt>
                <c:pt idx="34">
                  <c:v>0.96947863224717601</c:v>
                </c:pt>
                <c:pt idx="35">
                  <c:v>1.0001773551143873</c:v>
                </c:pt>
                <c:pt idx="36">
                  <c:v>0.94254876332960347</c:v>
                </c:pt>
                <c:pt idx="37">
                  <c:v>0.91975589948336944</c:v>
                </c:pt>
                <c:pt idx="38">
                  <c:v>1.0134982282492444</c:v>
                </c:pt>
                <c:pt idx="39">
                  <c:v>0.99397532078315132</c:v>
                </c:pt>
                <c:pt idx="40">
                  <c:v>0.97352997747185088</c:v>
                </c:pt>
                <c:pt idx="41">
                  <c:v>0.94072125796973127</c:v>
                </c:pt>
                <c:pt idx="42" formatCode="#,##0.000;[Red]\-#,##0.000">
                  <c:v>0.94580241671429621</c:v>
                </c:pt>
                <c:pt idx="43" formatCode="#,##0.000;[Red]\-#,##0.000">
                  <c:v>0.93033246628358768</c:v>
                </c:pt>
                <c:pt idx="44" formatCode="#,##0.000;[Red]\-#,##0.000">
                  <c:v>0.94175436683884062</c:v>
                </c:pt>
                <c:pt idx="45" formatCode="#,##0.000;[Red]\-#,##0.000">
                  <c:v>1.1482488636111381</c:v>
                </c:pt>
                <c:pt idx="46" formatCode="#,##0.000;[Red]\-#,##0.000">
                  <c:v>0.98273934860677259</c:v>
                </c:pt>
                <c:pt idx="47" formatCode="#,##0.000;[Red]\-#,##0.000">
                  <c:v>0.40593720790521898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3EA-4D71-B845-366AAB48C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494768"/>
        <c:axId val="643501984"/>
      </c:lineChart>
      <c:catAx>
        <c:axId val="21528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95331969696969698"/>
              <c:y val="0.9559471365638769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15295104"/>
        <c:crosses val="autoZero"/>
        <c:auto val="1"/>
        <c:lblAlgn val="ctr"/>
        <c:lblOffset val="100"/>
        <c:noMultiLvlLbl val="0"/>
      </c:catAx>
      <c:valAx>
        <c:axId val="2152951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3.9699393939393937E-2"/>
              <c:y val="6.8889736800521087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15280640"/>
        <c:crosses val="autoZero"/>
        <c:crossBetween val="between"/>
        <c:dispUnits>
          <c:builtInUnit val="thousands"/>
        </c:dispUnits>
      </c:valAx>
      <c:valAx>
        <c:axId val="643501984"/>
        <c:scaling>
          <c:orientation val="minMax"/>
        </c:scaling>
        <c:delete val="0"/>
        <c:axPos val="r"/>
        <c:numFmt formatCode="#,##0.0;[Red]\-#,##0.0" sourceLinked="0"/>
        <c:majorTickMark val="out"/>
        <c:minorTickMark val="none"/>
        <c:tickLblPos val="nextTo"/>
        <c:crossAx val="643494768"/>
        <c:crosses val="max"/>
        <c:crossBetween val="between"/>
      </c:valAx>
      <c:catAx>
        <c:axId val="64349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35019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629292929292917"/>
          <c:y val="0.10856583455702398"/>
          <c:w val="0.13357617360580706"/>
          <c:h val="0.28611634949024911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39370078740157483" l="0.39370078740157483" r="0.39370078740157483" t="0.78740157480314965" header="0.31496062992125984" footer="0.31496062992125984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図書館資料費の推移</a:t>
            </a:r>
            <a:r>
              <a:rPr lang="ja-JP" altLang="en-US" baseline="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： 公立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</a:t>
            </a:r>
            <a:r>
              <a:rPr lang="en-US" altLang="ja-JP" sz="1800" b="1" i="0" u="none" strike="noStrike" baseline="0">
                <a:effectLst/>
              </a:rPr>
              <a:t>A(8</a:t>
            </a:r>
            <a:r>
              <a:rPr lang="ja-JP" altLang="ja-JP" sz="1800" b="1" i="0" u="none" strike="noStrike" baseline="0">
                <a:effectLst/>
              </a:rPr>
              <a:t>学部以上</a:t>
            </a:r>
            <a:r>
              <a:rPr lang="en-US" altLang="ja-JP" sz="1800" b="1" i="0" u="none" strike="noStrike" baseline="0">
                <a:effectLst/>
              </a:rPr>
              <a:t>)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1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大学あたり平均額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9928080808080801E-2"/>
          <c:y val="0.100394278908969"/>
          <c:w val="0.92538319972882754"/>
          <c:h val="0.84462266005295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データシート!$C$146</c:f>
              <c:strCache>
                <c:ptCount val="1"/>
                <c:pt idx="0">
                  <c:v>図書</c:v>
                </c:pt>
              </c:strCache>
            </c:strRef>
          </c:tx>
          <c:invertIfNegative val="0"/>
          <c:cat>
            <c:strRef>
              <c:f>データシート!$D$145:$AY$145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データシート!$D$146:$AY$146</c:f>
              <c:numCache>
                <c:formatCode>#,##0_);[Red]\(#,##0\)</c:formatCode>
                <c:ptCount val="48"/>
                <c:pt idx="0">
                  <c:v>120558</c:v>
                </c:pt>
                <c:pt idx="1">
                  <c:v>125251</c:v>
                </c:pt>
                <c:pt idx="2">
                  <c:v>126914</c:v>
                </c:pt>
                <c:pt idx="3">
                  <c:v>136923</c:v>
                </c:pt>
                <c:pt idx="4">
                  <c:v>172185</c:v>
                </c:pt>
                <c:pt idx="5">
                  <c:v>160763</c:v>
                </c:pt>
                <c:pt idx="6">
                  <c:v>167781</c:v>
                </c:pt>
                <c:pt idx="7">
                  <c:v>176555</c:v>
                </c:pt>
                <c:pt idx="8">
                  <c:v>174846</c:v>
                </c:pt>
                <c:pt idx="9">
                  <c:v>178467</c:v>
                </c:pt>
                <c:pt idx="10">
                  <c:v>168852</c:v>
                </c:pt>
                <c:pt idx="11">
                  <c:v>152925</c:v>
                </c:pt>
                <c:pt idx="12">
                  <c:v>171331</c:v>
                </c:pt>
                <c:pt idx="13">
                  <c:v>176955</c:v>
                </c:pt>
                <c:pt idx="14">
                  <c:v>162599</c:v>
                </c:pt>
                <c:pt idx="15">
                  <c:v>175956</c:v>
                </c:pt>
                <c:pt idx="16">
                  <c:v>196682</c:v>
                </c:pt>
                <c:pt idx="17">
                  <c:v>204172</c:v>
                </c:pt>
                <c:pt idx="18">
                  <c:v>264678</c:v>
                </c:pt>
                <c:pt idx="19">
                  <c:v>292252</c:v>
                </c:pt>
                <c:pt idx="20">
                  <c:v>295350</c:v>
                </c:pt>
                <c:pt idx="21">
                  <c:v>217481</c:v>
                </c:pt>
                <c:pt idx="22">
                  <c:v>202116</c:v>
                </c:pt>
                <c:pt idx="23">
                  <c:v>246458</c:v>
                </c:pt>
                <c:pt idx="24">
                  <c:v>240892</c:v>
                </c:pt>
                <c:pt idx="25">
                  <c:v>229601</c:v>
                </c:pt>
                <c:pt idx="26">
                  <c:v>247055</c:v>
                </c:pt>
                <c:pt idx="27">
                  <c:v>239208</c:v>
                </c:pt>
                <c:pt idx="28">
                  <c:v>230441</c:v>
                </c:pt>
                <c:pt idx="29">
                  <c:v>222200</c:v>
                </c:pt>
                <c:pt idx="30">
                  <c:v>127076</c:v>
                </c:pt>
                <c:pt idx="31">
                  <c:v>122691</c:v>
                </c:pt>
                <c:pt idx="32">
                  <c:v>107517</c:v>
                </c:pt>
                <c:pt idx="33">
                  <c:v>102980</c:v>
                </c:pt>
                <c:pt idx="34">
                  <c:v>110725</c:v>
                </c:pt>
                <c:pt idx="35">
                  <c:v>95035</c:v>
                </c:pt>
                <c:pt idx="36">
                  <c:v>63611</c:v>
                </c:pt>
                <c:pt idx="37">
                  <c:v>61093.5</c:v>
                </c:pt>
                <c:pt idx="38">
                  <c:v>57934</c:v>
                </c:pt>
                <c:pt idx="39">
                  <c:v>50698</c:v>
                </c:pt>
                <c:pt idx="40">
                  <c:v>66129</c:v>
                </c:pt>
                <c:pt idx="41">
                  <c:v>56481</c:v>
                </c:pt>
                <c:pt idx="42">
                  <c:v>35921</c:v>
                </c:pt>
                <c:pt idx="43">
                  <c:v>50790</c:v>
                </c:pt>
                <c:pt idx="44">
                  <c:v>51493</c:v>
                </c:pt>
                <c:pt idx="45">
                  <c:v>52674</c:v>
                </c:pt>
                <c:pt idx="46">
                  <c:v>63635</c:v>
                </c:pt>
                <c:pt idx="47">
                  <c:v>42300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1-4566-A359-2692C6AA184F}"/>
            </c:ext>
          </c:extLst>
        </c:ser>
        <c:ser>
          <c:idx val="3"/>
          <c:order val="1"/>
          <c:tx>
            <c:strRef>
              <c:f>データシート!$C$147</c:f>
              <c:strCache>
                <c:ptCount val="1"/>
                <c:pt idx="0">
                  <c:v>雑誌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strRef>
              <c:f>データシート!$D$145:$AY$145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データシート!$D$147:$AY$147</c:f>
              <c:numCache>
                <c:formatCode>#,##0_);[Red]\(#,##0\)</c:formatCode>
                <c:ptCount val="48"/>
                <c:pt idx="0">
                  <c:v>67545</c:v>
                </c:pt>
                <c:pt idx="1">
                  <c:v>92553</c:v>
                </c:pt>
                <c:pt idx="2">
                  <c:v>85989</c:v>
                </c:pt>
                <c:pt idx="3">
                  <c:v>77926</c:v>
                </c:pt>
                <c:pt idx="4">
                  <c:v>92167</c:v>
                </c:pt>
                <c:pt idx="5">
                  <c:v>87997</c:v>
                </c:pt>
                <c:pt idx="6">
                  <c:v>91469</c:v>
                </c:pt>
                <c:pt idx="7">
                  <c:v>126832</c:v>
                </c:pt>
                <c:pt idx="8">
                  <c:v>126865</c:v>
                </c:pt>
                <c:pt idx="9">
                  <c:v>123981</c:v>
                </c:pt>
                <c:pt idx="10">
                  <c:v>134357</c:v>
                </c:pt>
                <c:pt idx="11">
                  <c:v>133579</c:v>
                </c:pt>
                <c:pt idx="12">
                  <c:v>126200</c:v>
                </c:pt>
                <c:pt idx="13">
                  <c:v>127280</c:v>
                </c:pt>
                <c:pt idx="14">
                  <c:v>121850</c:v>
                </c:pt>
                <c:pt idx="15">
                  <c:v>127269</c:v>
                </c:pt>
                <c:pt idx="16">
                  <c:v>150942</c:v>
                </c:pt>
                <c:pt idx="17">
                  <c:v>162766</c:v>
                </c:pt>
                <c:pt idx="18">
                  <c:v>181873</c:v>
                </c:pt>
                <c:pt idx="19">
                  <c:v>174838</c:v>
                </c:pt>
                <c:pt idx="20">
                  <c:v>183116</c:v>
                </c:pt>
                <c:pt idx="21">
                  <c:v>188979</c:v>
                </c:pt>
                <c:pt idx="22">
                  <c:v>191443</c:v>
                </c:pt>
                <c:pt idx="23">
                  <c:v>234426</c:v>
                </c:pt>
                <c:pt idx="24">
                  <c:v>269647</c:v>
                </c:pt>
                <c:pt idx="25">
                  <c:v>246910</c:v>
                </c:pt>
                <c:pt idx="26">
                  <c:v>260938</c:v>
                </c:pt>
                <c:pt idx="27">
                  <c:v>286122</c:v>
                </c:pt>
                <c:pt idx="28">
                  <c:v>295584</c:v>
                </c:pt>
                <c:pt idx="29">
                  <c:v>342308</c:v>
                </c:pt>
                <c:pt idx="30">
                  <c:v>246845</c:v>
                </c:pt>
                <c:pt idx="31">
                  <c:v>213774</c:v>
                </c:pt>
                <c:pt idx="32">
                  <c:v>188589</c:v>
                </c:pt>
                <c:pt idx="33">
                  <c:v>162150</c:v>
                </c:pt>
                <c:pt idx="34">
                  <c:v>141090</c:v>
                </c:pt>
                <c:pt idx="35">
                  <c:v>113902</c:v>
                </c:pt>
                <c:pt idx="36">
                  <c:v>95945</c:v>
                </c:pt>
                <c:pt idx="37">
                  <c:v>54720.5</c:v>
                </c:pt>
                <c:pt idx="38">
                  <c:v>48858</c:v>
                </c:pt>
                <c:pt idx="39">
                  <c:v>48049</c:v>
                </c:pt>
                <c:pt idx="40">
                  <c:v>81931</c:v>
                </c:pt>
                <c:pt idx="41">
                  <c:v>66579</c:v>
                </c:pt>
                <c:pt idx="42">
                  <c:v>28499</c:v>
                </c:pt>
                <c:pt idx="43">
                  <c:v>45662</c:v>
                </c:pt>
                <c:pt idx="44">
                  <c:v>35099</c:v>
                </c:pt>
                <c:pt idx="45">
                  <c:v>32227</c:v>
                </c:pt>
                <c:pt idx="46">
                  <c:v>40167</c:v>
                </c:pt>
                <c:pt idx="47">
                  <c:v>40923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1-4566-A359-2692C6AA184F}"/>
            </c:ext>
          </c:extLst>
        </c:ser>
        <c:ser>
          <c:idx val="1"/>
          <c:order val="2"/>
          <c:tx>
            <c:strRef>
              <c:f>データシート!$C$148</c:f>
              <c:strCache>
                <c:ptCount val="1"/>
                <c:pt idx="0">
                  <c:v>電子ジャーナル</c:v>
                </c:pt>
              </c:strCache>
            </c:strRef>
          </c:tx>
          <c:invertIfNegative val="0"/>
          <c:cat>
            <c:strRef>
              <c:f>データシート!$D$145:$AY$145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データシート!$D$148:$AY$148</c:f>
              <c:numCache>
                <c:formatCode>#,##0_);[Red]\(#,##0\)</c:formatCode>
                <c:ptCount val="48"/>
                <c:pt idx="29">
                  <c:v>78886</c:v>
                </c:pt>
                <c:pt idx="30">
                  <c:v>47266</c:v>
                </c:pt>
                <c:pt idx="31">
                  <c:v>47348</c:v>
                </c:pt>
                <c:pt idx="32">
                  <c:v>132211</c:v>
                </c:pt>
                <c:pt idx="33">
                  <c:v>61183</c:v>
                </c:pt>
                <c:pt idx="34">
                  <c:v>69185</c:v>
                </c:pt>
                <c:pt idx="35">
                  <c:v>75753</c:v>
                </c:pt>
                <c:pt idx="36">
                  <c:v>92153</c:v>
                </c:pt>
                <c:pt idx="37">
                  <c:v>97622</c:v>
                </c:pt>
                <c:pt idx="38">
                  <c:v>101696</c:v>
                </c:pt>
                <c:pt idx="39">
                  <c:v>119376.5</c:v>
                </c:pt>
                <c:pt idx="40">
                  <c:v>153070</c:v>
                </c:pt>
                <c:pt idx="41">
                  <c:v>146173</c:v>
                </c:pt>
                <c:pt idx="42">
                  <c:v>131211</c:v>
                </c:pt>
                <c:pt idx="43">
                  <c:v>155607</c:v>
                </c:pt>
                <c:pt idx="44">
                  <c:v>169644</c:v>
                </c:pt>
                <c:pt idx="45">
                  <c:v>172642</c:v>
                </c:pt>
                <c:pt idx="46">
                  <c:v>317359</c:v>
                </c:pt>
                <c:pt idx="47">
                  <c:v>357244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71-4566-A359-2692C6AA184F}"/>
            </c:ext>
          </c:extLst>
        </c:ser>
        <c:ser>
          <c:idx val="2"/>
          <c:order val="3"/>
          <c:tx>
            <c:strRef>
              <c:f>データシート!$C$149</c:f>
              <c:strCache>
                <c:ptCount val="1"/>
                <c:pt idx="0">
                  <c:v>電子書籍</c:v>
                </c:pt>
              </c:strCache>
            </c:strRef>
          </c:tx>
          <c:invertIfNegative val="0"/>
          <c:cat>
            <c:strRef>
              <c:f>データシート!$D$145:$AY$145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データシート!$D$149:$AY$149</c:f>
              <c:numCache>
                <c:formatCode>#,##0_);[Red]\(#,##0\)</c:formatCode>
                <c:ptCount val="48"/>
                <c:pt idx="35">
                  <c:v>7643</c:v>
                </c:pt>
                <c:pt idx="36">
                  <c:v>7030</c:v>
                </c:pt>
                <c:pt idx="37">
                  <c:v>3459.5</c:v>
                </c:pt>
                <c:pt idx="38">
                  <c:v>4851</c:v>
                </c:pt>
                <c:pt idx="39">
                  <c:v>4628</c:v>
                </c:pt>
                <c:pt idx="40">
                  <c:v>4010</c:v>
                </c:pt>
                <c:pt idx="41">
                  <c:v>4700</c:v>
                </c:pt>
                <c:pt idx="42">
                  <c:v>4784</c:v>
                </c:pt>
                <c:pt idx="43">
                  <c:v>4417</c:v>
                </c:pt>
                <c:pt idx="44">
                  <c:v>15289</c:v>
                </c:pt>
                <c:pt idx="45">
                  <c:v>15391</c:v>
                </c:pt>
                <c:pt idx="46">
                  <c:v>19215</c:v>
                </c:pt>
                <c:pt idx="47">
                  <c:v>19249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71-4566-A359-2692C6AA184F}"/>
            </c:ext>
          </c:extLst>
        </c:ser>
        <c:ser>
          <c:idx val="4"/>
          <c:order val="4"/>
          <c:tx>
            <c:strRef>
              <c:f>データシート!$C$150</c:f>
              <c:strCache>
                <c:ptCount val="1"/>
                <c:pt idx="0">
                  <c:v>データベース</c:v>
                </c:pt>
              </c:strCache>
            </c:strRef>
          </c:tx>
          <c:invertIfNegative val="0"/>
          <c:cat>
            <c:strRef>
              <c:f>データシート!$D$145:$AY$145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データシート!$D$150:$AY$150</c:f>
              <c:numCache>
                <c:formatCode>#,##0_);[Red]\(#,##0\)</c:formatCode>
                <c:ptCount val="48"/>
                <c:pt idx="35">
                  <c:v>30659</c:v>
                </c:pt>
                <c:pt idx="36">
                  <c:v>29639</c:v>
                </c:pt>
                <c:pt idx="37">
                  <c:v>30240</c:v>
                </c:pt>
                <c:pt idx="38">
                  <c:v>33793</c:v>
                </c:pt>
                <c:pt idx="39">
                  <c:v>32109</c:v>
                </c:pt>
                <c:pt idx="40">
                  <c:v>37126</c:v>
                </c:pt>
                <c:pt idx="41">
                  <c:v>37754</c:v>
                </c:pt>
                <c:pt idx="42">
                  <c:v>30785</c:v>
                </c:pt>
                <c:pt idx="43">
                  <c:v>38499</c:v>
                </c:pt>
                <c:pt idx="44">
                  <c:v>42879</c:v>
                </c:pt>
                <c:pt idx="45">
                  <c:v>39358</c:v>
                </c:pt>
                <c:pt idx="46">
                  <c:v>82111</c:v>
                </c:pt>
                <c:pt idx="47">
                  <c:v>62351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71-4566-A359-2692C6AA184F}"/>
            </c:ext>
          </c:extLst>
        </c:ser>
        <c:ser>
          <c:idx val="5"/>
          <c:order val="5"/>
          <c:tx>
            <c:strRef>
              <c:f>データシート!$C$151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データシート!$D$145:$AY$145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データシート!$D$151:$AY$151</c:f>
              <c:numCache>
                <c:formatCode>#,##0_);[Red]\(#,##0\)</c:formatCode>
                <c:ptCount val="48"/>
                <c:pt idx="0">
                  <c:v>4380</c:v>
                </c:pt>
                <c:pt idx="1">
                  <c:v>2662</c:v>
                </c:pt>
                <c:pt idx="2">
                  <c:v>2375</c:v>
                </c:pt>
                <c:pt idx="3">
                  <c:v>2670</c:v>
                </c:pt>
                <c:pt idx="4">
                  <c:v>2417</c:v>
                </c:pt>
                <c:pt idx="5">
                  <c:v>3564</c:v>
                </c:pt>
                <c:pt idx="6">
                  <c:v>5619</c:v>
                </c:pt>
                <c:pt idx="7">
                  <c:v>6026</c:v>
                </c:pt>
                <c:pt idx="8">
                  <c:v>6693</c:v>
                </c:pt>
                <c:pt idx="9">
                  <c:v>7359</c:v>
                </c:pt>
                <c:pt idx="10">
                  <c:v>10220</c:v>
                </c:pt>
                <c:pt idx="11">
                  <c:v>12519</c:v>
                </c:pt>
                <c:pt idx="12">
                  <c:v>18302</c:v>
                </c:pt>
                <c:pt idx="13">
                  <c:v>18139</c:v>
                </c:pt>
                <c:pt idx="14">
                  <c:v>21800</c:v>
                </c:pt>
                <c:pt idx="15">
                  <c:v>22528</c:v>
                </c:pt>
                <c:pt idx="16">
                  <c:v>33490</c:v>
                </c:pt>
                <c:pt idx="17">
                  <c:v>27337</c:v>
                </c:pt>
                <c:pt idx="18">
                  <c:v>57805</c:v>
                </c:pt>
                <c:pt idx="19">
                  <c:v>92776</c:v>
                </c:pt>
                <c:pt idx="20">
                  <c:v>68840</c:v>
                </c:pt>
                <c:pt idx="21">
                  <c:v>1377</c:v>
                </c:pt>
                <c:pt idx="22">
                  <c:v>47185</c:v>
                </c:pt>
                <c:pt idx="23">
                  <c:v>64167</c:v>
                </c:pt>
                <c:pt idx="24">
                  <c:v>81321</c:v>
                </c:pt>
                <c:pt idx="25">
                  <c:v>53619</c:v>
                </c:pt>
                <c:pt idx="26">
                  <c:v>51342</c:v>
                </c:pt>
                <c:pt idx="27">
                  <c:v>48004</c:v>
                </c:pt>
                <c:pt idx="28">
                  <c:v>44698</c:v>
                </c:pt>
                <c:pt idx="29">
                  <c:v>3631</c:v>
                </c:pt>
                <c:pt idx="30">
                  <c:v>23085</c:v>
                </c:pt>
                <c:pt idx="31">
                  <c:v>43414</c:v>
                </c:pt>
                <c:pt idx="32">
                  <c:v>42925</c:v>
                </c:pt>
                <c:pt idx="33">
                  <c:v>36069</c:v>
                </c:pt>
                <c:pt idx="34">
                  <c:v>43517</c:v>
                </c:pt>
                <c:pt idx="35">
                  <c:v>1524</c:v>
                </c:pt>
                <c:pt idx="36">
                  <c:v>2004</c:v>
                </c:pt>
                <c:pt idx="37">
                  <c:v>952.5</c:v>
                </c:pt>
                <c:pt idx="38">
                  <c:v>1107</c:v>
                </c:pt>
                <c:pt idx="39">
                  <c:v>2380.5</c:v>
                </c:pt>
                <c:pt idx="40">
                  <c:v>1173</c:v>
                </c:pt>
                <c:pt idx="41">
                  <c:v>237</c:v>
                </c:pt>
                <c:pt idx="42">
                  <c:v>1688</c:v>
                </c:pt>
                <c:pt idx="43">
                  <c:v>271</c:v>
                </c:pt>
                <c:pt idx="44">
                  <c:v>199</c:v>
                </c:pt>
                <c:pt idx="45">
                  <c:v>687</c:v>
                </c:pt>
                <c:pt idx="46">
                  <c:v>2103</c:v>
                </c:pt>
                <c:pt idx="47">
                  <c:v>4320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71-4566-A359-2692C6AA1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5719296"/>
        <c:axId val="215729664"/>
      </c:barChart>
      <c:lineChart>
        <c:grouping val="standard"/>
        <c:varyColors val="0"/>
        <c:ser>
          <c:idx val="6"/>
          <c:order val="6"/>
          <c:tx>
            <c:strRef>
              <c:f>データシート!$C$153</c:f>
              <c:strCache>
                <c:ptCount val="1"/>
                <c:pt idx="0">
                  <c:v>対大学総経費比率</c:v>
                </c:pt>
              </c:strCache>
            </c:strRef>
          </c:tx>
          <c:cat>
            <c:strRef>
              <c:f>データシート!$D$145:$AY$145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データシート!$D$153:$AY$153</c:f>
              <c:numCache>
                <c:formatCode>#,##0.00_);[Red]\(#,##0.00\)</c:formatCode>
                <c:ptCount val="48"/>
                <c:pt idx="0">
                  <c:v>2.5174339523934086</c:v>
                </c:pt>
                <c:pt idx="1">
                  <c:v>2.6958425042797751</c:v>
                </c:pt>
                <c:pt idx="2">
                  <c:v>2.4204857207105914</c:v>
                </c:pt>
                <c:pt idx="3">
                  <c:v>2.2618176146407403</c:v>
                </c:pt>
                <c:pt idx="4">
                  <c:v>2.6226107309292761</c:v>
                </c:pt>
                <c:pt idx="5">
                  <c:v>1.1923082593444827</c:v>
                </c:pt>
                <c:pt idx="6">
                  <c:v>2.0826309168108192</c:v>
                </c:pt>
                <c:pt idx="7">
                  <c:v>2.4685894367320889</c:v>
                </c:pt>
                <c:pt idx="8">
                  <c:v>2.3831543157406694</c:v>
                </c:pt>
                <c:pt idx="9">
                  <c:v>2.3360503694767001</c:v>
                </c:pt>
                <c:pt idx="10">
                  <c:v>2.0314278307084059</c:v>
                </c:pt>
                <c:pt idx="11">
                  <c:v>2.0348621980265396</c:v>
                </c:pt>
                <c:pt idx="12">
                  <c:v>2.1229616186059017</c:v>
                </c:pt>
                <c:pt idx="13">
                  <c:v>1.9476437892701788</c:v>
                </c:pt>
                <c:pt idx="14">
                  <c:v>1.8853053435114504</c:v>
                </c:pt>
                <c:pt idx="15">
                  <c:v>1.8071941587140685</c:v>
                </c:pt>
                <c:pt idx="16">
                  <c:v>1.92289703287352</c:v>
                </c:pt>
                <c:pt idx="17">
                  <c:v>1.7326623788427236</c:v>
                </c:pt>
                <c:pt idx="18">
                  <c:v>1.4065857718186092</c:v>
                </c:pt>
                <c:pt idx="19">
                  <c:v>1.4527446579394632</c:v>
                </c:pt>
                <c:pt idx="20">
                  <c:v>1.2003321416188664</c:v>
                </c:pt>
                <c:pt idx="21">
                  <c:v>0.8535624418042731</c:v>
                </c:pt>
                <c:pt idx="22">
                  <c:v>0.89385819291760604</c:v>
                </c:pt>
                <c:pt idx="23">
                  <c:v>1.0511138334233414</c:v>
                </c:pt>
                <c:pt idx="24">
                  <c:v>1.1349222039649987</c:v>
                </c:pt>
                <c:pt idx="25">
                  <c:v>1.0136329840949314</c:v>
                </c:pt>
                <c:pt idx="26">
                  <c:v>1.1090626340264822</c:v>
                </c:pt>
                <c:pt idx="27">
                  <c:v>1.2130352189908624</c:v>
                </c:pt>
                <c:pt idx="28">
                  <c:v>1.2130921697577874</c:v>
                </c:pt>
                <c:pt idx="29">
                  <c:v>1.3752748025531341</c:v>
                </c:pt>
                <c:pt idx="30">
                  <c:v>0.96567390017145649</c:v>
                </c:pt>
                <c:pt idx="31">
                  <c:v>0.98553714146777627</c:v>
                </c:pt>
                <c:pt idx="32">
                  <c:v>1.0585508867358953</c:v>
                </c:pt>
                <c:pt idx="33">
                  <c:v>0.78072388332734333</c:v>
                </c:pt>
                <c:pt idx="34">
                  <c:v>0.7764306334609552</c:v>
                </c:pt>
                <c:pt idx="35">
                  <c:v>0.70456758086370697</c:v>
                </c:pt>
                <c:pt idx="36">
                  <c:v>0.58080720043956868</c:v>
                </c:pt>
                <c:pt idx="37">
                  <c:v>0.7545678771426213</c:v>
                </c:pt>
                <c:pt idx="38">
                  <c:v>0.73670011151448156</c:v>
                </c:pt>
                <c:pt idx="39">
                  <c:v>0.7325439455958096</c:v>
                </c:pt>
                <c:pt idx="40">
                  <c:v>0.65442539790748278</c:v>
                </c:pt>
                <c:pt idx="41">
                  <c:v>0.58523607824584079</c:v>
                </c:pt>
                <c:pt idx="42" formatCode="#,##0.000;[Red]\-#,##0.000">
                  <c:v>0.72471651512703517</c:v>
                </c:pt>
                <c:pt idx="43" formatCode="#,##0.000;[Red]\-#,##0.000">
                  <c:v>0.52033416815274536</c:v>
                </c:pt>
                <c:pt idx="44" formatCode="#,##0.000;[Red]\-#,##0.000">
                  <c:v>0.53362116260966086</c:v>
                </c:pt>
                <c:pt idx="45" formatCode="#,##0.000;[Red]\-#,##0.000">
                  <c:v>0.53163975853917878</c:v>
                </c:pt>
                <c:pt idx="46" formatCode="#,##0.000;[Red]\-#,##0.000">
                  <c:v>0.65192786175068063</c:v>
                </c:pt>
                <c:pt idx="47" formatCode="#,##0.000;[Red]\-#,##0.000">
                  <c:v>1.1564357690286768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271-4566-A359-2692C6AA1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457512"/>
        <c:axId val="712465384"/>
      </c:lineChart>
      <c:catAx>
        <c:axId val="21571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96614797979797995"/>
              <c:y val="0.9559471365638769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15729664"/>
        <c:crosses val="autoZero"/>
        <c:auto val="1"/>
        <c:lblAlgn val="ctr"/>
        <c:lblOffset val="100"/>
        <c:noMultiLvlLbl val="0"/>
      </c:catAx>
      <c:valAx>
        <c:axId val="2157296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3.20024242424242E-2"/>
              <c:y val="6.4973926717310101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15719296"/>
        <c:crosses val="autoZero"/>
        <c:crossBetween val="between"/>
        <c:dispUnits>
          <c:builtInUnit val="thousands"/>
        </c:dispUnits>
      </c:valAx>
      <c:valAx>
        <c:axId val="712465384"/>
        <c:scaling>
          <c:orientation val="minMax"/>
        </c:scaling>
        <c:delete val="0"/>
        <c:axPos val="r"/>
        <c:numFmt formatCode="#,##0.0;[Red]\-#,##0.0" sourceLinked="0"/>
        <c:majorTickMark val="out"/>
        <c:minorTickMark val="none"/>
        <c:tickLblPos val="nextTo"/>
        <c:crossAx val="712457512"/>
        <c:crosses val="max"/>
        <c:crossBetween val="between"/>
      </c:valAx>
      <c:catAx>
        <c:axId val="712457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24653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9689894575065"/>
          <c:y val="0.10939786711683067"/>
          <c:w val="0.1294334908277332"/>
          <c:h val="0.28611634949024911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図書館資料費の推移</a:t>
            </a:r>
            <a:r>
              <a:rPr lang="ja-JP" altLang="en-US" baseline="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： 公立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</a:t>
            </a:r>
            <a:r>
              <a:rPr lang="en-US" altLang="ja-JP" sz="1800" b="1" i="0" u="none" strike="noStrike" baseline="0">
                <a:effectLst/>
              </a:rPr>
              <a:t>B(5</a:t>
            </a:r>
            <a:r>
              <a:rPr lang="ja-JP" altLang="ja-JP" sz="1800" b="1" i="0" u="none" strike="noStrike" baseline="0">
                <a:effectLst/>
              </a:rPr>
              <a:t>～</a:t>
            </a:r>
            <a:r>
              <a:rPr lang="en-US" altLang="ja-JP" sz="1800" b="1" i="0" u="none" strike="noStrike" baseline="0">
                <a:effectLst/>
              </a:rPr>
              <a:t>7</a:t>
            </a:r>
            <a:r>
              <a:rPr lang="ja-JP" altLang="ja-JP" sz="1800" b="1" i="0" u="none" strike="noStrike" baseline="0">
                <a:effectLst/>
              </a:rPr>
              <a:t>学部</a:t>
            </a:r>
            <a:r>
              <a:rPr lang="en-US" altLang="ja-JP" sz="1800" b="1" i="0" u="none" strike="noStrike" baseline="0">
                <a:effectLst/>
              </a:rPr>
              <a:t>)</a:t>
            </a:r>
            <a:r>
              <a:rPr lang="ja-JP" altLang="ja-JP" sz="1800" b="1" i="0" u="none" strike="noStrike" baseline="0">
                <a:effectLst/>
              </a:rPr>
              <a:t> 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1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大学あたり平均額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9928080808080801E-2"/>
          <c:y val="0.100394278908969"/>
          <c:w val="0.92894191919191904"/>
          <c:h val="0.84462266005295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データシート!$C$165</c:f>
              <c:strCache>
                <c:ptCount val="1"/>
                <c:pt idx="0">
                  <c:v>図書</c:v>
                </c:pt>
              </c:strCache>
            </c:strRef>
          </c:tx>
          <c:invertIfNegative val="0"/>
          <c:cat>
            <c:strRef>
              <c:f>データシート!$D$164:$AY$164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データシート!$D$165:$AY$165</c:f>
              <c:numCache>
                <c:formatCode>#,##0_);[Red]\(#,##0\)</c:formatCode>
                <c:ptCount val="48"/>
                <c:pt idx="0">
                  <c:v>85148</c:v>
                </c:pt>
                <c:pt idx="1">
                  <c:v>127392</c:v>
                </c:pt>
                <c:pt idx="2">
                  <c:v>130728</c:v>
                </c:pt>
                <c:pt idx="3">
                  <c:v>87547</c:v>
                </c:pt>
                <c:pt idx="4">
                  <c:v>88907</c:v>
                </c:pt>
                <c:pt idx="5">
                  <c:v>106588</c:v>
                </c:pt>
                <c:pt idx="6">
                  <c:v>95656</c:v>
                </c:pt>
                <c:pt idx="7">
                  <c:v>122349</c:v>
                </c:pt>
                <c:pt idx="8">
                  <c:v>113902.5</c:v>
                </c:pt>
                <c:pt idx="9">
                  <c:v>115076.5</c:v>
                </c:pt>
                <c:pt idx="10">
                  <c:v>63136.5</c:v>
                </c:pt>
                <c:pt idx="11">
                  <c:v>64185.5</c:v>
                </c:pt>
                <c:pt idx="12">
                  <c:v>65508</c:v>
                </c:pt>
                <c:pt idx="13">
                  <c:v>69427</c:v>
                </c:pt>
                <c:pt idx="14">
                  <c:v>56490</c:v>
                </c:pt>
                <c:pt idx="15">
                  <c:v>57063.5</c:v>
                </c:pt>
                <c:pt idx="16">
                  <c:v>65621.5</c:v>
                </c:pt>
                <c:pt idx="17">
                  <c:v>61976.5</c:v>
                </c:pt>
                <c:pt idx="18">
                  <c:v>64678</c:v>
                </c:pt>
                <c:pt idx="19">
                  <c:v>62175.666666666664</c:v>
                </c:pt>
                <c:pt idx="20">
                  <c:v>83645.333333333328</c:v>
                </c:pt>
                <c:pt idx="21">
                  <c:v>118720.33333333333</c:v>
                </c:pt>
                <c:pt idx="22">
                  <c:v>71021.333333333328</c:v>
                </c:pt>
                <c:pt idx="23">
                  <c:v>52060.833333333336</c:v>
                </c:pt>
                <c:pt idx="24">
                  <c:v>67920.333333333328</c:v>
                </c:pt>
                <c:pt idx="25">
                  <c:v>108196.2</c:v>
                </c:pt>
                <c:pt idx="26">
                  <c:v>94761</c:v>
                </c:pt>
                <c:pt idx="27">
                  <c:v>58994.2</c:v>
                </c:pt>
                <c:pt idx="28">
                  <c:v>52771.833333333336</c:v>
                </c:pt>
                <c:pt idx="29">
                  <c:v>57944.4</c:v>
                </c:pt>
                <c:pt idx="30">
                  <c:v>51944.2</c:v>
                </c:pt>
                <c:pt idx="31">
                  <c:v>45424</c:v>
                </c:pt>
                <c:pt idx="32">
                  <c:v>40875</c:v>
                </c:pt>
                <c:pt idx="33">
                  <c:v>36587.666666666664</c:v>
                </c:pt>
                <c:pt idx="34">
                  <c:v>31799.166666666668</c:v>
                </c:pt>
                <c:pt idx="35">
                  <c:v>36371.833333333336</c:v>
                </c:pt>
                <c:pt idx="36">
                  <c:v>29459.666666666668</c:v>
                </c:pt>
                <c:pt idx="37">
                  <c:v>28080</c:v>
                </c:pt>
                <c:pt idx="38">
                  <c:v>26644.400000000001</c:v>
                </c:pt>
                <c:pt idx="39">
                  <c:v>24560.2</c:v>
                </c:pt>
                <c:pt idx="40">
                  <c:v>23545.857142857141</c:v>
                </c:pt>
                <c:pt idx="41">
                  <c:v>19681</c:v>
                </c:pt>
                <c:pt idx="42">
                  <c:v>20192</c:v>
                </c:pt>
                <c:pt idx="43">
                  <c:v>20503</c:v>
                </c:pt>
                <c:pt idx="44">
                  <c:v>19067</c:v>
                </c:pt>
                <c:pt idx="45">
                  <c:v>17504</c:v>
                </c:pt>
                <c:pt idx="46">
                  <c:v>17031</c:v>
                </c:pt>
                <c:pt idx="47">
                  <c:v>16748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2-41F5-A546-F79C031B1E8A}"/>
            </c:ext>
          </c:extLst>
        </c:ser>
        <c:ser>
          <c:idx val="3"/>
          <c:order val="1"/>
          <c:tx>
            <c:strRef>
              <c:f>データシート!$C$166</c:f>
              <c:strCache>
                <c:ptCount val="1"/>
                <c:pt idx="0">
                  <c:v>雑誌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strRef>
              <c:f>データシート!$D$164:$AY$164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データシート!$D$166:$AY$166</c:f>
              <c:numCache>
                <c:formatCode>#,##0_);[Red]\(#,##0\)</c:formatCode>
                <c:ptCount val="48"/>
                <c:pt idx="0">
                  <c:v>35991</c:v>
                </c:pt>
                <c:pt idx="1">
                  <c:v>13996</c:v>
                </c:pt>
                <c:pt idx="2">
                  <c:v>18631</c:v>
                </c:pt>
                <c:pt idx="3">
                  <c:v>62581</c:v>
                </c:pt>
                <c:pt idx="4">
                  <c:v>60925</c:v>
                </c:pt>
                <c:pt idx="5">
                  <c:v>66915</c:v>
                </c:pt>
                <c:pt idx="6">
                  <c:v>76917</c:v>
                </c:pt>
                <c:pt idx="7">
                  <c:v>81575.5</c:v>
                </c:pt>
                <c:pt idx="8">
                  <c:v>99157</c:v>
                </c:pt>
                <c:pt idx="9">
                  <c:v>92555.5</c:v>
                </c:pt>
                <c:pt idx="10">
                  <c:v>51568</c:v>
                </c:pt>
                <c:pt idx="11">
                  <c:v>53637</c:v>
                </c:pt>
                <c:pt idx="12">
                  <c:v>52691</c:v>
                </c:pt>
                <c:pt idx="13">
                  <c:v>54838</c:v>
                </c:pt>
                <c:pt idx="14">
                  <c:v>50365</c:v>
                </c:pt>
                <c:pt idx="15">
                  <c:v>59397</c:v>
                </c:pt>
                <c:pt idx="16">
                  <c:v>71703.5</c:v>
                </c:pt>
                <c:pt idx="17">
                  <c:v>75020</c:v>
                </c:pt>
                <c:pt idx="18">
                  <c:v>75428.5</c:v>
                </c:pt>
                <c:pt idx="19">
                  <c:v>80532</c:v>
                </c:pt>
                <c:pt idx="20">
                  <c:v>67836.333333333328</c:v>
                </c:pt>
                <c:pt idx="21">
                  <c:v>127317</c:v>
                </c:pt>
                <c:pt idx="22">
                  <c:v>72080.833333333328</c:v>
                </c:pt>
                <c:pt idx="23">
                  <c:v>77395.166666666672</c:v>
                </c:pt>
                <c:pt idx="24">
                  <c:v>101137.5</c:v>
                </c:pt>
                <c:pt idx="25">
                  <c:v>83126</c:v>
                </c:pt>
                <c:pt idx="26">
                  <c:v>60154.8</c:v>
                </c:pt>
                <c:pt idx="27">
                  <c:v>76180.399999999994</c:v>
                </c:pt>
                <c:pt idx="28">
                  <c:v>79992.5</c:v>
                </c:pt>
                <c:pt idx="29">
                  <c:v>95202.4</c:v>
                </c:pt>
                <c:pt idx="30">
                  <c:v>82944.600000000006</c:v>
                </c:pt>
                <c:pt idx="31">
                  <c:v>73569.2</c:v>
                </c:pt>
                <c:pt idx="32">
                  <c:v>54509.599999999999</c:v>
                </c:pt>
                <c:pt idx="33">
                  <c:v>43455.666666666664</c:v>
                </c:pt>
                <c:pt idx="34">
                  <c:v>35624.666666666664</c:v>
                </c:pt>
                <c:pt idx="35">
                  <c:v>31859.833333333332</c:v>
                </c:pt>
                <c:pt idx="36">
                  <c:v>26165</c:v>
                </c:pt>
                <c:pt idx="37">
                  <c:v>24625.8</c:v>
                </c:pt>
                <c:pt idx="38">
                  <c:v>22917.8</c:v>
                </c:pt>
                <c:pt idx="39">
                  <c:v>21862</c:v>
                </c:pt>
                <c:pt idx="40">
                  <c:v>23315.571428571428</c:v>
                </c:pt>
                <c:pt idx="41">
                  <c:v>21793</c:v>
                </c:pt>
                <c:pt idx="42">
                  <c:v>19579</c:v>
                </c:pt>
                <c:pt idx="43">
                  <c:v>19076</c:v>
                </c:pt>
                <c:pt idx="44">
                  <c:v>16533</c:v>
                </c:pt>
                <c:pt idx="45">
                  <c:v>15063</c:v>
                </c:pt>
                <c:pt idx="46">
                  <c:v>16351</c:v>
                </c:pt>
                <c:pt idx="47">
                  <c:v>14640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B2-41F5-A546-F79C031B1E8A}"/>
            </c:ext>
          </c:extLst>
        </c:ser>
        <c:ser>
          <c:idx val="1"/>
          <c:order val="2"/>
          <c:tx>
            <c:strRef>
              <c:f>データシート!$C$167</c:f>
              <c:strCache>
                <c:ptCount val="1"/>
                <c:pt idx="0">
                  <c:v>電子ジャーナル</c:v>
                </c:pt>
              </c:strCache>
            </c:strRef>
          </c:tx>
          <c:invertIfNegative val="0"/>
          <c:cat>
            <c:strRef>
              <c:f>データシート!$D$164:$AY$164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データシート!$D$167:$AY$167</c:f>
              <c:numCache>
                <c:formatCode>#,##0_);[Red]\(#,##0\)</c:formatCode>
                <c:ptCount val="48"/>
                <c:pt idx="29">
                  <c:v>8382.4</c:v>
                </c:pt>
                <c:pt idx="30">
                  <c:v>17836</c:v>
                </c:pt>
                <c:pt idx="31">
                  <c:v>24910</c:v>
                </c:pt>
                <c:pt idx="32">
                  <c:v>32473.4</c:v>
                </c:pt>
                <c:pt idx="33">
                  <c:v>33815.5</c:v>
                </c:pt>
                <c:pt idx="34">
                  <c:v>33917</c:v>
                </c:pt>
                <c:pt idx="35">
                  <c:v>35146.5</c:v>
                </c:pt>
                <c:pt idx="36">
                  <c:v>38028</c:v>
                </c:pt>
                <c:pt idx="37">
                  <c:v>28319</c:v>
                </c:pt>
                <c:pt idx="38">
                  <c:v>36035.199999999997</c:v>
                </c:pt>
                <c:pt idx="39">
                  <c:v>35361.4</c:v>
                </c:pt>
                <c:pt idx="40">
                  <c:v>44167.571428571428</c:v>
                </c:pt>
                <c:pt idx="41">
                  <c:v>43878</c:v>
                </c:pt>
                <c:pt idx="42">
                  <c:v>32524</c:v>
                </c:pt>
                <c:pt idx="43">
                  <c:v>66486</c:v>
                </c:pt>
                <c:pt idx="44">
                  <c:v>66485</c:v>
                </c:pt>
                <c:pt idx="45">
                  <c:v>62564</c:v>
                </c:pt>
                <c:pt idx="46">
                  <c:v>57505</c:v>
                </c:pt>
                <c:pt idx="47">
                  <c:v>62743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B2-41F5-A546-F79C031B1E8A}"/>
            </c:ext>
          </c:extLst>
        </c:ser>
        <c:ser>
          <c:idx val="2"/>
          <c:order val="3"/>
          <c:tx>
            <c:strRef>
              <c:f>データシート!$C$168</c:f>
              <c:strCache>
                <c:ptCount val="1"/>
                <c:pt idx="0">
                  <c:v>電子書籍</c:v>
                </c:pt>
              </c:strCache>
            </c:strRef>
          </c:tx>
          <c:invertIfNegative val="0"/>
          <c:cat>
            <c:strRef>
              <c:f>データシート!$D$164:$AY$164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データシート!$D$168:$AY$168</c:f>
              <c:numCache>
                <c:formatCode>#,##0_);[Red]\(#,##0\)</c:formatCode>
                <c:ptCount val="48"/>
                <c:pt idx="35">
                  <c:v>637.83333333333337</c:v>
                </c:pt>
                <c:pt idx="36">
                  <c:v>476</c:v>
                </c:pt>
                <c:pt idx="37">
                  <c:v>257.2</c:v>
                </c:pt>
                <c:pt idx="38">
                  <c:v>471.8</c:v>
                </c:pt>
                <c:pt idx="39">
                  <c:v>716.8</c:v>
                </c:pt>
                <c:pt idx="40">
                  <c:v>923.57142857142856</c:v>
                </c:pt>
                <c:pt idx="41">
                  <c:v>1602</c:v>
                </c:pt>
                <c:pt idx="42">
                  <c:v>1271</c:v>
                </c:pt>
                <c:pt idx="43">
                  <c:v>1672</c:v>
                </c:pt>
                <c:pt idx="44">
                  <c:v>1549</c:v>
                </c:pt>
                <c:pt idx="45">
                  <c:v>2581</c:v>
                </c:pt>
                <c:pt idx="46">
                  <c:v>2268</c:v>
                </c:pt>
                <c:pt idx="47">
                  <c:v>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B2-41F5-A546-F79C031B1E8A}"/>
            </c:ext>
          </c:extLst>
        </c:ser>
        <c:ser>
          <c:idx val="4"/>
          <c:order val="4"/>
          <c:tx>
            <c:strRef>
              <c:f>データシート!$C$169</c:f>
              <c:strCache>
                <c:ptCount val="1"/>
                <c:pt idx="0">
                  <c:v>データベース</c:v>
                </c:pt>
              </c:strCache>
            </c:strRef>
          </c:tx>
          <c:invertIfNegative val="0"/>
          <c:cat>
            <c:strRef>
              <c:f>データシート!$D$164:$AY$164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データシート!$D$169:$AY$169</c:f>
              <c:numCache>
                <c:formatCode>#,##0_);[Red]\(#,##0\)</c:formatCode>
                <c:ptCount val="48"/>
                <c:pt idx="35">
                  <c:v>11410.166666666666</c:v>
                </c:pt>
                <c:pt idx="36">
                  <c:v>11768</c:v>
                </c:pt>
                <c:pt idx="37">
                  <c:v>9044</c:v>
                </c:pt>
                <c:pt idx="38">
                  <c:v>12277</c:v>
                </c:pt>
                <c:pt idx="39">
                  <c:v>9169.6</c:v>
                </c:pt>
                <c:pt idx="40">
                  <c:v>11844.428571428571</c:v>
                </c:pt>
                <c:pt idx="41">
                  <c:v>12448</c:v>
                </c:pt>
                <c:pt idx="42">
                  <c:v>9385</c:v>
                </c:pt>
                <c:pt idx="43">
                  <c:v>12418</c:v>
                </c:pt>
                <c:pt idx="44">
                  <c:v>12467</c:v>
                </c:pt>
                <c:pt idx="45">
                  <c:v>12717</c:v>
                </c:pt>
                <c:pt idx="46">
                  <c:v>10186</c:v>
                </c:pt>
                <c:pt idx="47">
                  <c:v>10165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B2-41F5-A546-F79C031B1E8A}"/>
            </c:ext>
          </c:extLst>
        </c:ser>
        <c:ser>
          <c:idx val="5"/>
          <c:order val="5"/>
          <c:tx>
            <c:strRef>
              <c:f>データシート!$C$170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データシート!$D$164:$AY$164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データシート!$D$170:$AY$170</c:f>
              <c:numCache>
                <c:formatCode>#,##0_);[Red]\(#,##0\)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558</c:v>
                </c:pt>
                <c:pt idx="3">
                  <c:v>4864</c:v>
                </c:pt>
                <c:pt idx="4">
                  <c:v>5493</c:v>
                </c:pt>
                <c:pt idx="5">
                  <c:v>2030</c:v>
                </c:pt>
                <c:pt idx="6">
                  <c:v>4116</c:v>
                </c:pt>
                <c:pt idx="7">
                  <c:v>4273.5</c:v>
                </c:pt>
                <c:pt idx="8">
                  <c:v>6897.5</c:v>
                </c:pt>
                <c:pt idx="9">
                  <c:v>13616.5</c:v>
                </c:pt>
                <c:pt idx="10">
                  <c:v>1627</c:v>
                </c:pt>
                <c:pt idx="11">
                  <c:v>1633</c:v>
                </c:pt>
                <c:pt idx="12">
                  <c:v>1689</c:v>
                </c:pt>
                <c:pt idx="13">
                  <c:v>2122</c:v>
                </c:pt>
                <c:pt idx="14">
                  <c:v>4365.5</c:v>
                </c:pt>
                <c:pt idx="15">
                  <c:v>2175.5</c:v>
                </c:pt>
                <c:pt idx="16">
                  <c:v>7058</c:v>
                </c:pt>
                <c:pt idx="17">
                  <c:v>4346</c:v>
                </c:pt>
                <c:pt idx="18">
                  <c:v>4386.5</c:v>
                </c:pt>
                <c:pt idx="19">
                  <c:v>8549</c:v>
                </c:pt>
                <c:pt idx="20">
                  <c:v>39568.666666666664</c:v>
                </c:pt>
                <c:pt idx="21">
                  <c:v>28815.333333333332</c:v>
                </c:pt>
                <c:pt idx="22">
                  <c:v>107296.33333333333</c:v>
                </c:pt>
                <c:pt idx="23">
                  <c:v>4180.333333333333</c:v>
                </c:pt>
                <c:pt idx="24">
                  <c:v>4180</c:v>
                </c:pt>
                <c:pt idx="25">
                  <c:v>4092.4</c:v>
                </c:pt>
                <c:pt idx="26">
                  <c:v>6558.2</c:v>
                </c:pt>
                <c:pt idx="27">
                  <c:v>6578.4</c:v>
                </c:pt>
                <c:pt idx="28">
                  <c:v>4417.666666666667</c:v>
                </c:pt>
                <c:pt idx="29">
                  <c:v>2251.4</c:v>
                </c:pt>
                <c:pt idx="30">
                  <c:v>5047.8</c:v>
                </c:pt>
                <c:pt idx="31">
                  <c:v>4750.3999999999996</c:v>
                </c:pt>
                <c:pt idx="32">
                  <c:v>11337.2</c:v>
                </c:pt>
                <c:pt idx="33">
                  <c:v>6832.5</c:v>
                </c:pt>
                <c:pt idx="34">
                  <c:v>7255.166666666667</c:v>
                </c:pt>
                <c:pt idx="35">
                  <c:v>1523.6666666666667</c:v>
                </c:pt>
                <c:pt idx="36">
                  <c:v>1196.1666666666667</c:v>
                </c:pt>
                <c:pt idx="37">
                  <c:v>1233.4000000000001</c:v>
                </c:pt>
                <c:pt idx="38">
                  <c:v>1226.4000000000001</c:v>
                </c:pt>
                <c:pt idx="39">
                  <c:v>1238.4000000000001</c:v>
                </c:pt>
                <c:pt idx="40">
                  <c:v>1601.5714285714287</c:v>
                </c:pt>
                <c:pt idx="41">
                  <c:v>1655</c:v>
                </c:pt>
                <c:pt idx="42">
                  <c:v>1754</c:v>
                </c:pt>
                <c:pt idx="43">
                  <c:v>1731</c:v>
                </c:pt>
                <c:pt idx="44">
                  <c:v>1824</c:v>
                </c:pt>
                <c:pt idx="45">
                  <c:v>2123</c:v>
                </c:pt>
                <c:pt idx="46">
                  <c:v>2163</c:v>
                </c:pt>
                <c:pt idx="47">
                  <c:v>1545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B2-41F5-A546-F79C031B1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092032"/>
        <c:axId val="216106496"/>
      </c:barChart>
      <c:lineChart>
        <c:grouping val="standard"/>
        <c:varyColors val="0"/>
        <c:ser>
          <c:idx val="6"/>
          <c:order val="6"/>
          <c:tx>
            <c:strRef>
              <c:f>データシート!$C$172</c:f>
              <c:strCache>
                <c:ptCount val="1"/>
                <c:pt idx="0">
                  <c:v>対大学総経費比率</c:v>
                </c:pt>
              </c:strCache>
            </c:strRef>
          </c:tx>
          <c:cat>
            <c:strRef>
              <c:f>データシート!$D$164:$AY$164</c:f>
              <c:strCache>
                <c:ptCount val="48"/>
                <c:pt idx="0">
                  <c:v>1975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2000</c:v>
                </c:pt>
                <c:pt idx="26">
                  <c:v>01</c:v>
                </c:pt>
                <c:pt idx="27">
                  <c:v>02</c:v>
                </c:pt>
                <c:pt idx="28">
                  <c:v>03</c:v>
                </c:pt>
                <c:pt idx="29">
                  <c:v>04</c:v>
                </c:pt>
                <c:pt idx="30">
                  <c:v>05</c:v>
                </c:pt>
                <c:pt idx="31">
                  <c:v>06</c:v>
                </c:pt>
                <c:pt idx="32">
                  <c:v>07</c:v>
                </c:pt>
                <c:pt idx="33">
                  <c:v>08</c:v>
                </c:pt>
                <c:pt idx="34">
                  <c:v>09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</c:strCache>
            </c:strRef>
          </c:cat>
          <c:val>
            <c:numRef>
              <c:f>データシート!$D$172:$AY$172</c:f>
              <c:numCache>
                <c:formatCode>#,##0.00_);[Red]\(#,##0.00\)</c:formatCode>
                <c:ptCount val="48"/>
                <c:pt idx="0">
                  <c:v>2.6848182624113472</c:v>
                </c:pt>
                <c:pt idx="1">
                  <c:v>2.6348863212821469</c:v>
                </c:pt>
                <c:pt idx="2">
                  <c:v>2.6319698033707866</c:v>
                </c:pt>
                <c:pt idx="3">
                  <c:v>2.5784727998669106</c:v>
                </c:pt>
                <c:pt idx="4">
                  <c:v>2.4383068723598744</c:v>
                </c:pt>
                <c:pt idx="5">
                  <c:v>2.5479937994506368</c:v>
                </c:pt>
                <c:pt idx="6">
                  <c:v>2.2345042594806674</c:v>
                </c:pt>
                <c:pt idx="7">
                  <c:v>2.6862859462736357</c:v>
                </c:pt>
                <c:pt idx="8">
                  <c:v>2.7451274290780927</c:v>
                </c:pt>
                <c:pt idx="9">
                  <c:v>2.4699804632989113</c:v>
                </c:pt>
                <c:pt idx="10">
                  <c:v>1.3063294681467126</c:v>
                </c:pt>
                <c:pt idx="11">
                  <c:v>0.76116180121140542</c:v>
                </c:pt>
                <c:pt idx="12">
                  <c:v>1.2430097678309533</c:v>
                </c:pt>
                <c:pt idx="13">
                  <c:v>1.341294693705237</c:v>
                </c:pt>
                <c:pt idx="14">
                  <c:v>1.0813747885047713</c:v>
                </c:pt>
                <c:pt idx="15">
                  <c:v>0.9324564823905267</c:v>
                </c:pt>
                <c:pt idx="16">
                  <c:v>1.0027425529351885</c:v>
                </c:pt>
                <c:pt idx="17">
                  <c:v>0.94840064394016654</c:v>
                </c:pt>
                <c:pt idx="18">
                  <c:v>0.94623370590116296</c:v>
                </c:pt>
                <c:pt idx="19">
                  <c:v>1.0091566897623447</c:v>
                </c:pt>
                <c:pt idx="20">
                  <c:v>1.3999857107177556</c:v>
                </c:pt>
                <c:pt idx="21">
                  <c:v>1.335763490493119</c:v>
                </c:pt>
                <c:pt idx="22">
                  <c:v>2.3544354953210953</c:v>
                </c:pt>
                <c:pt idx="23">
                  <c:v>0.64964055177567182</c:v>
                </c:pt>
                <c:pt idx="24">
                  <c:v>1.5944624839043089</c:v>
                </c:pt>
                <c:pt idx="25">
                  <c:v>1.9037624322522131</c:v>
                </c:pt>
                <c:pt idx="26">
                  <c:v>1.525278107221627</c:v>
                </c:pt>
                <c:pt idx="27">
                  <c:v>1.3702154731567566</c:v>
                </c:pt>
                <c:pt idx="28">
                  <c:v>1.3601289211827126</c:v>
                </c:pt>
                <c:pt idx="29">
                  <c:v>1.7391420138154354</c:v>
                </c:pt>
                <c:pt idx="30">
                  <c:v>1.5346023540919906</c:v>
                </c:pt>
                <c:pt idx="31">
                  <c:v>1.3797775601827875</c:v>
                </c:pt>
                <c:pt idx="32">
                  <c:v>1.338391345047764</c:v>
                </c:pt>
                <c:pt idx="33">
                  <c:v>0.92137539695815629</c:v>
                </c:pt>
                <c:pt idx="34">
                  <c:v>0.82512167098915401</c:v>
                </c:pt>
                <c:pt idx="35">
                  <c:v>0.88524980095728478</c:v>
                </c:pt>
                <c:pt idx="36">
                  <c:v>0.76810349286581214</c:v>
                </c:pt>
                <c:pt idx="37">
                  <c:v>0.73852662810859149</c:v>
                </c:pt>
                <c:pt idx="38">
                  <c:v>0.753374928651802</c:v>
                </c:pt>
                <c:pt idx="39">
                  <c:v>0.66801621063331584</c:v>
                </c:pt>
                <c:pt idx="40">
                  <c:v>0.81988502162445509</c:v>
                </c:pt>
                <c:pt idx="41">
                  <c:v>0.74731501310800963</c:v>
                </c:pt>
                <c:pt idx="42" formatCode="#,##0.000;[Red]\-#,##0.000">
                  <c:v>0.61857437805847315</c:v>
                </c:pt>
                <c:pt idx="43" formatCode="#,##0.000;[Red]\-#,##0.000">
                  <c:v>0.78845542227212517</c:v>
                </c:pt>
                <c:pt idx="44" formatCode="#,##0.000;[Red]\-#,##0.000">
                  <c:v>0.81017219853686573</c:v>
                </c:pt>
                <c:pt idx="45" formatCode="#,##0.000;[Red]\-#,##0.000">
                  <c:v>0.99390659104221291</c:v>
                </c:pt>
                <c:pt idx="46" formatCode="#,##0.000;[Red]\-#,##0.000">
                  <c:v>0.61652165847879026</c:v>
                </c:pt>
                <c:pt idx="47" formatCode="#,##0.000;[Red]\-#,##0.000">
                  <c:v>0.6050811440995234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0B2-41F5-A546-F79C031B1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588016"/>
        <c:axId val="441593920"/>
      </c:lineChart>
      <c:catAx>
        <c:axId val="216092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96614797979797995"/>
              <c:y val="0.9559471365638769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16106496"/>
        <c:crosses val="autoZero"/>
        <c:auto val="1"/>
        <c:lblAlgn val="ctr"/>
        <c:lblOffset val="100"/>
        <c:noMultiLvlLbl val="0"/>
      </c:catAx>
      <c:valAx>
        <c:axId val="2161064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b="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百万円</a:t>
                </a:r>
              </a:p>
            </c:rich>
          </c:tx>
          <c:layout>
            <c:manualLayout>
              <c:xMode val="edge"/>
              <c:yMode val="edge"/>
              <c:x val="3.0719595959595999E-2"/>
              <c:y val="5.91002115924937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16092032"/>
        <c:crosses val="autoZero"/>
        <c:crossBetween val="between"/>
        <c:dispUnits>
          <c:builtInUnit val="thousands"/>
        </c:dispUnits>
      </c:valAx>
      <c:valAx>
        <c:axId val="441593920"/>
        <c:scaling>
          <c:orientation val="minMax"/>
        </c:scaling>
        <c:delete val="0"/>
        <c:axPos val="r"/>
        <c:numFmt formatCode="#,##0.0;[Red]\-#,##0.0" sourceLinked="0"/>
        <c:majorTickMark val="out"/>
        <c:minorTickMark val="none"/>
        <c:tickLblPos val="nextTo"/>
        <c:crossAx val="441588016"/>
        <c:crosses val="max"/>
        <c:crossBetween val="between"/>
      </c:valAx>
      <c:catAx>
        <c:axId val="441588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159392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812106721448729"/>
          <c:y val="0.10743996207522517"/>
          <c:w val="0.13035380186614018"/>
          <c:h val="0.28611634949024911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65309</xdr:colOff>
      <xdr:row>0</xdr:row>
      <xdr:rowOff>38099</xdr:rowOff>
    </xdr:from>
    <xdr:to>
      <xdr:col>1</xdr:col>
      <xdr:colOff>48983</xdr:colOff>
      <xdr:row>1</xdr:row>
      <xdr:rowOff>1323974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0</xdr:row>
      <xdr:rowOff>38099</xdr:rowOff>
    </xdr:from>
    <xdr:to>
      <xdr:col>0</xdr:col>
      <xdr:colOff>10496550</xdr:colOff>
      <xdr:row>1</xdr:row>
      <xdr:rowOff>1323974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0.95412</cdr:x>
      <cdr:y>0.04649</cdr:y>
    </cdr:from>
    <cdr:to>
      <cdr:x>0.98456</cdr:x>
      <cdr:y>0.08346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9978572" y="301172"/>
          <a:ext cx="318406" cy="23948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/>
            <a:t>%</a:t>
          </a:r>
          <a:endParaRPr kumimoji="1" lang="ja-JP" altLang="en-US" sz="12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0</xdr:row>
      <xdr:rowOff>38099</xdr:rowOff>
    </xdr:from>
    <xdr:to>
      <xdr:col>1</xdr:col>
      <xdr:colOff>0</xdr:colOff>
      <xdr:row>1</xdr:row>
      <xdr:rowOff>1323974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0.95176</cdr:x>
      <cdr:y>0.04481</cdr:y>
    </cdr:from>
    <cdr:to>
      <cdr:x>0.98126</cdr:x>
      <cdr:y>0.08178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10272486" y="290286"/>
          <a:ext cx="318406" cy="23948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/>
            <a:t>%</a:t>
          </a:r>
          <a:endParaRPr kumimoji="1" lang="ja-JP" altLang="en-US" sz="12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0</xdr:row>
      <xdr:rowOff>38099</xdr:rowOff>
    </xdr:from>
    <xdr:to>
      <xdr:col>0</xdr:col>
      <xdr:colOff>10755085</xdr:colOff>
      <xdr:row>1</xdr:row>
      <xdr:rowOff>1323974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0.9549</cdr:x>
      <cdr:y>0.04663</cdr:y>
    </cdr:from>
    <cdr:to>
      <cdr:x>0.98477</cdr:x>
      <cdr:y>0.08357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10177780" y="302260"/>
          <a:ext cx="318406" cy="23948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/>
            <a:t>%</a:t>
          </a:r>
          <a:endParaRPr kumimoji="1" lang="ja-JP" altLang="en-US" sz="12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0</xdr:row>
      <xdr:rowOff>38099</xdr:rowOff>
    </xdr:from>
    <xdr:to>
      <xdr:col>0</xdr:col>
      <xdr:colOff>10667999</xdr:colOff>
      <xdr:row>1</xdr:row>
      <xdr:rowOff>1323974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0.00478</cdr:x>
      <cdr:y>0.00784</cdr:y>
    </cdr:from>
    <cdr:to>
      <cdr:x>0.0349</cdr:x>
      <cdr:y>0.04478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50800" y="50800"/>
          <a:ext cx="320154" cy="2393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kumimoji="1" lang="ja-JP" altLang="en-US" sz="1200"/>
        </a:p>
      </cdr:txBody>
    </cdr:sp>
  </cdr:relSizeAnchor>
  <cdr:relSizeAnchor xmlns:cdr="http://schemas.openxmlformats.org/drawingml/2006/chartDrawing">
    <cdr:from>
      <cdr:x>0.95102</cdr:x>
      <cdr:y>0.04985</cdr:y>
    </cdr:from>
    <cdr:to>
      <cdr:x>0.98113</cdr:x>
      <cdr:y>0.08679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0109200" y="322943"/>
          <a:ext cx="320154" cy="2393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/>
            <a:t>%</a:t>
          </a:r>
          <a:endParaRPr kumimoji="1" lang="ja-JP" altLang="en-US" sz="12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0</xdr:row>
      <xdr:rowOff>38099</xdr:rowOff>
    </xdr:from>
    <xdr:to>
      <xdr:col>0</xdr:col>
      <xdr:colOff>10629899</xdr:colOff>
      <xdr:row>1</xdr:row>
      <xdr:rowOff>1323974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0.94519</cdr:x>
      <cdr:y>0.03977</cdr:y>
    </cdr:from>
    <cdr:to>
      <cdr:x>0.97541</cdr:x>
      <cdr:y>0.07671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011229" y="257629"/>
          <a:ext cx="320067" cy="23931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/>
            <a:t>%</a:t>
          </a:r>
          <a:endParaRPr kumimoji="1" lang="ja-JP" altLang="en-US" sz="12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0.94006</cdr:x>
      <cdr:y>0.05321</cdr:y>
    </cdr:from>
    <cdr:to>
      <cdr:x>0.96942</cdr:x>
      <cdr:y>0.09018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10109200" y="344714"/>
          <a:ext cx="315686" cy="23948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/>
            <a:t>%</a:t>
          </a:r>
          <a:endParaRPr kumimoji="1" lang="ja-JP" altLang="en-US" sz="12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94794</xdr:colOff>
      <xdr:row>0</xdr:row>
      <xdr:rowOff>38099</xdr:rowOff>
    </xdr:from>
    <xdr:to>
      <xdr:col>0</xdr:col>
      <xdr:colOff>10705645</xdr:colOff>
      <xdr:row>1</xdr:row>
      <xdr:rowOff>1323974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0.93323</cdr:x>
      <cdr:y>0.04313</cdr:y>
    </cdr:from>
    <cdr:to>
      <cdr:x>0.96339</cdr:x>
      <cdr:y>0.08007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902371" y="279400"/>
          <a:ext cx="320067" cy="23931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/>
            <a:t>%</a:t>
          </a:r>
          <a:endParaRPr kumimoji="1" lang="ja-JP" altLang="en-US" sz="1200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0</xdr:row>
      <xdr:rowOff>38099</xdr:rowOff>
    </xdr:from>
    <xdr:to>
      <xdr:col>0</xdr:col>
      <xdr:colOff>10553699</xdr:colOff>
      <xdr:row>1</xdr:row>
      <xdr:rowOff>1323974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0</xdr:row>
      <xdr:rowOff>38099</xdr:rowOff>
    </xdr:from>
    <xdr:to>
      <xdr:col>0</xdr:col>
      <xdr:colOff>10458449</xdr:colOff>
      <xdr:row>1</xdr:row>
      <xdr:rowOff>1323974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0.94308</cdr:x>
      <cdr:y>0.05133</cdr:y>
    </cdr:from>
    <cdr:to>
      <cdr:x>0.9738</cdr:x>
      <cdr:y>0.08824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827260" y="332740"/>
          <a:ext cx="320067" cy="23931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/>
            <a:t>%</a:t>
          </a:r>
          <a:endParaRPr kumimoji="1" lang="ja-JP" altLang="en-US" sz="12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38099</xdr:rowOff>
    </xdr:from>
    <xdr:to>
      <xdr:col>0</xdr:col>
      <xdr:colOff>10563225</xdr:colOff>
      <xdr:row>1</xdr:row>
      <xdr:rowOff>1323974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0</xdr:row>
      <xdr:rowOff>38099</xdr:rowOff>
    </xdr:from>
    <xdr:to>
      <xdr:col>0</xdr:col>
      <xdr:colOff>10553699</xdr:colOff>
      <xdr:row>1</xdr:row>
      <xdr:rowOff>1323974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0.94686</cdr:x>
      <cdr:y>0.05368</cdr:y>
    </cdr:from>
    <cdr:to>
      <cdr:x>0.9773</cdr:x>
      <cdr:y>0.09059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956800" y="347980"/>
          <a:ext cx="320067" cy="23931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/>
            <a:t>%</a:t>
          </a:r>
          <a:endParaRPr kumimoji="1" lang="ja-JP" altLang="en-US" sz="1200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0</xdr:row>
      <xdr:rowOff>38099</xdr:rowOff>
    </xdr:from>
    <xdr:to>
      <xdr:col>0</xdr:col>
      <xdr:colOff>10668000</xdr:colOff>
      <xdr:row>1</xdr:row>
      <xdr:rowOff>1323974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0</xdr:row>
      <xdr:rowOff>38099</xdr:rowOff>
    </xdr:from>
    <xdr:to>
      <xdr:col>1</xdr:col>
      <xdr:colOff>0</xdr:colOff>
      <xdr:row>1</xdr:row>
      <xdr:rowOff>1323974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0</xdr:row>
      <xdr:rowOff>38099</xdr:rowOff>
    </xdr:from>
    <xdr:to>
      <xdr:col>0</xdr:col>
      <xdr:colOff>10772775</xdr:colOff>
      <xdr:row>1</xdr:row>
      <xdr:rowOff>1323974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38099</xdr:rowOff>
    </xdr:from>
    <xdr:to>
      <xdr:col>0</xdr:col>
      <xdr:colOff>10658475</xdr:colOff>
      <xdr:row>1</xdr:row>
      <xdr:rowOff>1323974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10254342</xdr:colOff>
      <xdr:row>0</xdr:row>
      <xdr:rowOff>272144</xdr:rowOff>
    </xdr:from>
    <xdr:to>
      <xdr:col>0</xdr:col>
      <xdr:colOff>10570028</xdr:colOff>
      <xdr:row>0</xdr:row>
      <xdr:rowOff>511630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0254342" y="272144"/>
          <a:ext cx="315686" cy="2394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%</a:t>
          </a:r>
          <a:endParaRPr kumimoji="1" lang="ja-JP" altLang="en-US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0</xdr:row>
      <xdr:rowOff>38099</xdr:rowOff>
    </xdr:from>
    <xdr:to>
      <xdr:col>0</xdr:col>
      <xdr:colOff>10613571</xdr:colOff>
      <xdr:row>1</xdr:row>
      <xdr:rowOff>1323974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0.96003</cdr:x>
      <cdr:y>0.04481</cdr:y>
    </cdr:from>
    <cdr:to>
      <cdr:x>0.98988</cdr:x>
      <cdr:y>0.08178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10152742" y="290286"/>
          <a:ext cx="315686" cy="23948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/>
            <a:t>%</a:t>
          </a:r>
          <a:endParaRPr kumimoji="1" lang="ja-JP" altLang="en-US" sz="12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38099</xdr:rowOff>
    </xdr:from>
    <xdr:to>
      <xdr:col>0</xdr:col>
      <xdr:colOff>10711543</xdr:colOff>
      <xdr:row>1</xdr:row>
      <xdr:rowOff>1323974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0.96147</cdr:x>
      <cdr:y>0.04145</cdr:y>
    </cdr:from>
    <cdr:to>
      <cdr:x>0.9913</cdr:x>
      <cdr:y>0.07841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10174514" y="268514"/>
          <a:ext cx="315686" cy="23948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/>
            <a:t>%</a:t>
          </a:r>
          <a:endParaRPr kumimoji="1" lang="ja-JP" altLang="en-US" sz="1200"/>
        </a:p>
      </cdr:txBody>
    </cdr:sp>
  </cdr:relSizeAnchor>
</c:userShape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9"/>
  <sheetViews>
    <sheetView tabSelected="1" zoomScale="90" zoomScaleNormal="90" zoomScalePageLayoutView="90" workbookViewId="0">
      <pane xSplit="3" topLeftCell="AT1" activePane="topRight" state="frozen"/>
      <selection pane="topRight" activeCell="BB14" sqref="BB14"/>
    </sheetView>
  </sheetViews>
  <sheetFormatPr defaultColWidth="12.9140625" defaultRowHeight="12"/>
  <cols>
    <col min="1" max="1" width="9.9140625" style="3" customWidth="1"/>
    <col min="2" max="2" width="13.58203125" style="3" customWidth="1"/>
    <col min="3" max="3" width="15.08203125" style="3" customWidth="1"/>
    <col min="4" max="18" width="14" style="2" customWidth="1"/>
    <col min="19" max="29" width="14" style="4" customWidth="1"/>
    <col min="30" max="41" width="13.9140625" style="4" customWidth="1"/>
    <col min="42" max="51" width="13.9140625" style="3" customWidth="1"/>
    <col min="52" max="16384" width="12.9140625" style="3"/>
  </cols>
  <sheetData>
    <row r="1" spans="1:51" s="2" customFormat="1">
      <c r="C1" s="3"/>
      <c r="D1" s="1">
        <v>1975</v>
      </c>
      <c r="E1" s="1">
        <v>1976</v>
      </c>
      <c r="F1" s="1">
        <v>1977</v>
      </c>
      <c r="G1" s="1">
        <v>1978</v>
      </c>
      <c r="H1" s="1">
        <v>1979</v>
      </c>
      <c r="I1" s="1">
        <v>1980</v>
      </c>
      <c r="J1" s="1">
        <v>1981</v>
      </c>
      <c r="K1" s="1">
        <v>1982</v>
      </c>
      <c r="L1" s="1">
        <v>1983</v>
      </c>
      <c r="M1" s="1">
        <v>1984</v>
      </c>
      <c r="N1" s="1">
        <v>1985</v>
      </c>
      <c r="O1" s="1">
        <v>1986</v>
      </c>
      <c r="P1" s="1">
        <v>1987</v>
      </c>
      <c r="Q1" s="1">
        <v>1988</v>
      </c>
      <c r="R1" s="1">
        <v>1989</v>
      </c>
      <c r="S1" s="7">
        <v>1990</v>
      </c>
      <c r="T1" s="7">
        <v>1991</v>
      </c>
      <c r="U1" s="7">
        <v>1992</v>
      </c>
      <c r="V1" s="7">
        <v>1993</v>
      </c>
      <c r="W1" s="7">
        <v>1994</v>
      </c>
      <c r="X1" s="7">
        <v>1995</v>
      </c>
      <c r="Y1" s="7">
        <v>1996</v>
      </c>
      <c r="Z1" s="7">
        <v>1997</v>
      </c>
      <c r="AA1" s="7">
        <v>1998</v>
      </c>
      <c r="AB1" s="7">
        <v>1999</v>
      </c>
      <c r="AC1" s="7">
        <v>2000</v>
      </c>
      <c r="AD1" s="7">
        <v>2001</v>
      </c>
      <c r="AE1" s="7">
        <v>2002</v>
      </c>
      <c r="AF1" s="7">
        <v>2003</v>
      </c>
      <c r="AG1" s="7">
        <v>2004</v>
      </c>
      <c r="AH1" s="7">
        <v>2005</v>
      </c>
      <c r="AI1" s="7">
        <v>2006</v>
      </c>
      <c r="AJ1" s="7">
        <v>2007</v>
      </c>
      <c r="AK1" s="7">
        <v>2008</v>
      </c>
      <c r="AL1" s="7">
        <v>2009</v>
      </c>
      <c r="AM1" s="7">
        <v>2010</v>
      </c>
      <c r="AN1" s="7">
        <v>2011</v>
      </c>
      <c r="AO1" s="7">
        <v>2012</v>
      </c>
      <c r="AP1" s="7" t="s">
        <v>22</v>
      </c>
      <c r="AQ1" s="7" t="s">
        <v>27</v>
      </c>
      <c r="AR1" s="7" t="s">
        <v>77</v>
      </c>
      <c r="AS1" s="7" t="s">
        <v>79</v>
      </c>
      <c r="AT1" s="7" t="s">
        <v>81</v>
      </c>
      <c r="AU1" s="7" t="s">
        <v>83</v>
      </c>
      <c r="AV1" s="7" t="s">
        <v>85</v>
      </c>
      <c r="AW1" s="7" t="s">
        <v>87</v>
      </c>
      <c r="AX1" s="7" t="s">
        <v>90</v>
      </c>
      <c r="AY1" s="7" t="s">
        <v>91</v>
      </c>
    </row>
    <row r="2" spans="1:51" s="2" customFormat="1">
      <c r="C2" s="3"/>
      <c r="D2" s="1">
        <v>1975</v>
      </c>
      <c r="E2" s="1">
        <v>76</v>
      </c>
      <c r="F2" s="1">
        <v>77</v>
      </c>
      <c r="G2" s="1">
        <v>78</v>
      </c>
      <c r="H2" s="1">
        <v>79</v>
      </c>
      <c r="I2" s="1">
        <v>80</v>
      </c>
      <c r="J2" s="1">
        <v>81</v>
      </c>
      <c r="K2" s="1">
        <v>82</v>
      </c>
      <c r="L2" s="1">
        <v>83</v>
      </c>
      <c r="M2" s="1">
        <v>84</v>
      </c>
      <c r="N2" s="1">
        <v>85</v>
      </c>
      <c r="O2" s="1">
        <v>86</v>
      </c>
      <c r="P2" s="1">
        <v>87</v>
      </c>
      <c r="Q2" s="1">
        <v>88</v>
      </c>
      <c r="R2" s="1">
        <v>89</v>
      </c>
      <c r="S2" s="7" t="s">
        <v>32</v>
      </c>
      <c r="T2" s="7" t="s">
        <v>33</v>
      </c>
      <c r="U2" s="7" t="s">
        <v>34</v>
      </c>
      <c r="V2" s="7" t="s">
        <v>35</v>
      </c>
      <c r="W2" s="7" t="s">
        <v>36</v>
      </c>
      <c r="X2" s="7" t="s">
        <v>37</v>
      </c>
      <c r="Y2" s="7" t="s">
        <v>38</v>
      </c>
      <c r="Z2" s="7" t="s">
        <v>39</v>
      </c>
      <c r="AA2" s="7" t="s">
        <v>40</v>
      </c>
      <c r="AB2" s="7" t="s">
        <v>41</v>
      </c>
      <c r="AC2" s="7" t="s">
        <v>42</v>
      </c>
      <c r="AD2" s="7" t="s">
        <v>43</v>
      </c>
      <c r="AE2" s="7" t="s">
        <v>44</v>
      </c>
      <c r="AF2" s="7" t="s">
        <v>45</v>
      </c>
      <c r="AG2" s="7" t="s">
        <v>46</v>
      </c>
      <c r="AH2" s="7" t="s">
        <v>47</v>
      </c>
      <c r="AI2" s="7" t="s">
        <v>48</v>
      </c>
      <c r="AJ2" s="7" t="s">
        <v>49</v>
      </c>
      <c r="AK2" s="7" t="s">
        <v>50</v>
      </c>
      <c r="AL2" s="7" t="s">
        <v>51</v>
      </c>
      <c r="AM2" s="7" t="s">
        <v>52</v>
      </c>
      <c r="AN2" s="7" t="s">
        <v>53</v>
      </c>
      <c r="AO2" s="7" t="s">
        <v>54</v>
      </c>
      <c r="AP2" s="7" t="s">
        <v>55</v>
      </c>
      <c r="AQ2" s="7" t="s">
        <v>56</v>
      </c>
      <c r="AR2" s="7" t="s">
        <v>78</v>
      </c>
      <c r="AS2" s="7" t="s">
        <v>80</v>
      </c>
      <c r="AT2" s="7" t="s">
        <v>82</v>
      </c>
      <c r="AU2" s="7" t="s">
        <v>84</v>
      </c>
      <c r="AV2" s="7" t="s">
        <v>86</v>
      </c>
      <c r="AW2" s="7" t="s">
        <v>88</v>
      </c>
      <c r="AX2" s="7" t="s">
        <v>89</v>
      </c>
      <c r="AY2" s="7" t="s">
        <v>92</v>
      </c>
    </row>
    <row r="3" spans="1:51">
      <c r="A3" s="12" t="s">
        <v>1</v>
      </c>
      <c r="B3" s="3" t="s">
        <v>1</v>
      </c>
      <c r="C3" s="3" t="s">
        <v>8</v>
      </c>
      <c r="D3" s="4">
        <v>13886517</v>
      </c>
      <c r="E3" s="4">
        <v>15931985</v>
      </c>
      <c r="F3" s="4">
        <v>17856114</v>
      </c>
      <c r="G3" s="4">
        <v>20746257</v>
      </c>
      <c r="H3" s="4">
        <v>23072027</v>
      </c>
      <c r="I3" s="4">
        <v>25615000</v>
      </c>
      <c r="J3" s="4">
        <v>27623393</v>
      </c>
      <c r="K3" s="4">
        <v>27875786</v>
      </c>
      <c r="L3" s="4">
        <f>13669815+14153517</f>
        <v>27823332</v>
      </c>
      <c r="M3" s="4">
        <f>14548173+14773269</f>
        <v>29321442</v>
      </c>
      <c r="N3" s="4">
        <f>14768527+15958066</f>
        <v>30726593</v>
      </c>
      <c r="O3" s="4">
        <f>15429815+14805085</f>
        <v>30234900</v>
      </c>
      <c r="P3" s="4">
        <f>16051459+17439272</f>
        <v>33490731</v>
      </c>
      <c r="Q3" s="4">
        <f>16915435+15812038</f>
        <v>32727473</v>
      </c>
      <c r="R3" s="4">
        <v>34398633</v>
      </c>
      <c r="S3" s="4">
        <f>17434483+17579514</f>
        <v>35013997</v>
      </c>
      <c r="T3" s="4">
        <f>17881846+16889533</f>
        <v>34771379</v>
      </c>
      <c r="U3" s="4">
        <f>18984844+18243667</f>
        <v>37228511</v>
      </c>
      <c r="V3" s="4">
        <f>19827983+17199847</f>
        <v>37027830</v>
      </c>
      <c r="W3" s="4">
        <f>20537591+16358468</f>
        <v>36896059</v>
      </c>
      <c r="X3" s="4">
        <f>21120242+15972944</f>
        <v>37093186</v>
      </c>
      <c r="Y3" s="4">
        <f>20983972+15494882</f>
        <v>36478854</v>
      </c>
      <c r="Z3" s="4">
        <f>20982014+15898043</f>
        <v>36880057</v>
      </c>
      <c r="AA3" s="4">
        <f>19933207+15516032</f>
        <v>35449239</v>
      </c>
      <c r="AB3" s="4">
        <f>23206936+15756145</f>
        <v>38963081</v>
      </c>
      <c r="AC3" s="4">
        <f>21510822+14237991</f>
        <v>35748813</v>
      </c>
      <c r="AD3" s="4">
        <v>33975727</v>
      </c>
      <c r="AE3" s="4">
        <v>31923524</v>
      </c>
      <c r="AF3" s="4">
        <v>32467053</v>
      </c>
      <c r="AG3" s="4">
        <v>29900186</v>
      </c>
      <c r="AH3" s="4">
        <v>29630038</v>
      </c>
      <c r="AI3" s="4">
        <v>28384511</v>
      </c>
      <c r="AJ3" s="4">
        <v>27000843</v>
      </c>
      <c r="AK3" s="4">
        <v>25818013</v>
      </c>
      <c r="AL3" s="4">
        <v>25863110</v>
      </c>
      <c r="AM3" s="4">
        <v>23836330</v>
      </c>
      <c r="AN3" s="4">
        <v>22733323</v>
      </c>
      <c r="AO3" s="4">
        <v>21890988</v>
      </c>
      <c r="AP3" s="4">
        <v>20909621</v>
      </c>
      <c r="AQ3" s="4">
        <v>19567493</v>
      </c>
      <c r="AR3" s="4">
        <v>19341238</v>
      </c>
      <c r="AS3" s="4">
        <v>16950405</v>
      </c>
      <c r="AT3" s="4">
        <v>16624363</v>
      </c>
      <c r="AU3" s="4">
        <v>15694728</v>
      </c>
      <c r="AV3" s="4">
        <v>14607574</v>
      </c>
      <c r="AW3" s="4">
        <v>13731492</v>
      </c>
      <c r="AX3" s="4">
        <v>13157784</v>
      </c>
      <c r="AY3" s="4">
        <v>12183113</v>
      </c>
    </row>
    <row r="4" spans="1:51">
      <c r="A4" s="12"/>
      <c r="B4" s="3" t="s">
        <v>21</v>
      </c>
      <c r="C4" s="3" t="s">
        <v>9</v>
      </c>
      <c r="D4" s="4">
        <v>7516574</v>
      </c>
      <c r="E4" s="4">
        <v>8990174</v>
      </c>
      <c r="F4" s="4">
        <v>9499859</v>
      </c>
      <c r="G4" s="4">
        <v>10266769</v>
      </c>
      <c r="H4" s="4">
        <v>10795253</v>
      </c>
      <c r="I4" s="4">
        <v>13057943</v>
      </c>
      <c r="J4" s="4">
        <v>14776758</v>
      </c>
      <c r="K4" s="4">
        <f>3125899+13529349</f>
        <v>16655248</v>
      </c>
      <c r="L4" s="4">
        <f>3337906+15195241</f>
        <v>18533147</v>
      </c>
      <c r="M4" s="4">
        <f>3511065+14640972</f>
        <v>18152037</v>
      </c>
      <c r="N4" s="4">
        <f>3676179+15312955</f>
        <v>18989134</v>
      </c>
      <c r="O4" s="4">
        <f>3845435+15806047</f>
        <v>19651482</v>
      </c>
      <c r="P4" s="4">
        <f>3895215+15722507</f>
        <v>19617722</v>
      </c>
      <c r="Q4" s="4">
        <f>4357230+16359074</f>
        <v>20716304</v>
      </c>
      <c r="R4" s="4">
        <v>21344723</v>
      </c>
      <c r="S4" s="4">
        <f>4763165+19047929</f>
        <v>23811094</v>
      </c>
      <c r="T4" s="4">
        <f>5147268+20422471</f>
        <v>25569739</v>
      </c>
      <c r="U4" s="4">
        <f>5252996+21314322</f>
        <v>26567318</v>
      </c>
      <c r="V4" s="4">
        <f>5511978+21835773</f>
        <v>27347751</v>
      </c>
      <c r="W4" s="4">
        <f>5639765+20433388</f>
        <v>26073153</v>
      </c>
      <c r="X4" s="4">
        <f>5721011+20993862</f>
        <v>26714873</v>
      </c>
      <c r="Y4" s="4">
        <f>5792966+22858731</f>
        <v>28651697</v>
      </c>
      <c r="Z4" s="4">
        <f>5800549+25832828</f>
        <v>31633377</v>
      </c>
      <c r="AA4" s="4">
        <f>5853712+28584065</f>
        <v>34437777</v>
      </c>
      <c r="AB4" s="4">
        <f>6295131+30731498</f>
        <v>37026629</v>
      </c>
      <c r="AC4" s="4">
        <f>6137574+28233948</f>
        <v>34371522</v>
      </c>
      <c r="AD4" s="4">
        <v>33813917</v>
      </c>
      <c r="AE4" s="4">
        <v>35301913</v>
      </c>
      <c r="AF4" s="4">
        <v>36234671</v>
      </c>
      <c r="AG4" s="4">
        <v>40765123</v>
      </c>
      <c r="AH4" s="4">
        <v>28726206</v>
      </c>
      <c r="AI4" s="4">
        <v>27582664</v>
      </c>
      <c r="AJ4" s="4">
        <v>25249495</v>
      </c>
      <c r="AK4" s="4">
        <v>23063388</v>
      </c>
      <c r="AL4" s="4">
        <v>19928452</v>
      </c>
      <c r="AM4" s="4">
        <v>17463865</v>
      </c>
      <c r="AN4" s="4">
        <v>16183662</v>
      </c>
      <c r="AO4" s="4">
        <v>14658195</v>
      </c>
      <c r="AP4" s="4">
        <v>14479451</v>
      </c>
      <c r="AQ4" s="4">
        <v>14937609</v>
      </c>
      <c r="AR4" s="4">
        <v>14632680</v>
      </c>
      <c r="AS4" s="4">
        <v>13260054</v>
      </c>
      <c r="AT4" s="4">
        <v>12190651</v>
      </c>
      <c r="AU4" s="4">
        <v>11570760</v>
      </c>
      <c r="AV4" s="4">
        <v>11002317</v>
      </c>
      <c r="AW4" s="4">
        <v>10358387</v>
      </c>
      <c r="AX4" s="4">
        <v>9977531</v>
      </c>
      <c r="AY4" s="4">
        <v>9892682</v>
      </c>
    </row>
    <row r="5" spans="1:51">
      <c r="A5" s="12"/>
      <c r="C5" s="3" t="s">
        <v>11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AG5" s="4">
        <v>6197886</v>
      </c>
      <c r="AH5" s="4">
        <v>9075338</v>
      </c>
      <c r="AI5" s="4">
        <v>12169661</v>
      </c>
      <c r="AJ5" s="4">
        <v>15526069</v>
      </c>
      <c r="AK5" s="4">
        <v>18439373</v>
      </c>
      <c r="AL5" s="4">
        <v>20163164</v>
      </c>
      <c r="AM5" s="4">
        <v>20714319</v>
      </c>
      <c r="AN5" s="4">
        <v>21775773</v>
      </c>
      <c r="AO5" s="4">
        <v>22747023</v>
      </c>
      <c r="AP5" s="4">
        <v>24595872</v>
      </c>
      <c r="AQ5" s="4">
        <v>27569400</v>
      </c>
      <c r="AR5" s="4">
        <v>29466506</v>
      </c>
      <c r="AS5" s="4">
        <v>30242166</v>
      </c>
      <c r="AT5" s="4">
        <v>29735370</v>
      </c>
      <c r="AU5" s="4">
        <v>31474839</v>
      </c>
      <c r="AV5" s="4">
        <v>32494689</v>
      </c>
      <c r="AW5" s="4">
        <v>32564608</v>
      </c>
      <c r="AX5" s="4">
        <v>32855572</v>
      </c>
      <c r="AY5" s="4">
        <v>35438000</v>
      </c>
    </row>
    <row r="6" spans="1:51">
      <c r="A6" s="12"/>
      <c r="C6" s="3" t="s">
        <v>23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AM6" s="4">
        <v>650419</v>
      </c>
      <c r="AN6" s="4">
        <v>730655</v>
      </c>
      <c r="AO6" s="4">
        <v>1006347</v>
      </c>
      <c r="AP6" s="4">
        <v>943837</v>
      </c>
      <c r="AQ6" s="4">
        <v>1028048</v>
      </c>
      <c r="AR6" s="4">
        <v>1064700</v>
      </c>
      <c r="AS6" s="4">
        <v>1266633</v>
      </c>
      <c r="AT6" s="4">
        <v>1540972</v>
      </c>
      <c r="AU6" s="4">
        <v>1548958</v>
      </c>
      <c r="AV6" s="4">
        <v>1686612</v>
      </c>
      <c r="AW6" s="4">
        <v>2855207</v>
      </c>
      <c r="AX6" s="4">
        <v>2843394</v>
      </c>
      <c r="AY6" s="4">
        <v>2353530</v>
      </c>
    </row>
    <row r="7" spans="1:51">
      <c r="A7" s="12"/>
      <c r="C7" s="3" t="s">
        <v>24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AM7" s="4">
        <v>5325563</v>
      </c>
      <c r="AN7" s="4">
        <v>5839766</v>
      </c>
      <c r="AO7" s="4">
        <v>6077709</v>
      </c>
      <c r="AP7" s="4">
        <v>6788447</v>
      </c>
      <c r="AQ7" s="4">
        <v>7175101</v>
      </c>
      <c r="AR7" s="4">
        <v>7540952</v>
      </c>
      <c r="AS7" s="4">
        <v>7678481</v>
      </c>
      <c r="AT7" s="4">
        <v>7921904</v>
      </c>
      <c r="AU7" s="4">
        <v>8190046</v>
      </c>
      <c r="AV7" s="4">
        <v>8755976</v>
      </c>
      <c r="AW7" s="4">
        <v>9035233</v>
      </c>
      <c r="AX7" s="4">
        <v>9497621</v>
      </c>
      <c r="AY7" s="4">
        <v>9929260</v>
      </c>
    </row>
    <row r="8" spans="1:51">
      <c r="A8" s="12"/>
      <c r="C8" s="3" t="s">
        <v>10</v>
      </c>
      <c r="D8" s="4">
        <v>634091</v>
      </c>
      <c r="E8" s="4">
        <v>724395</v>
      </c>
      <c r="F8" s="4">
        <v>938361</v>
      </c>
      <c r="G8" s="4">
        <v>1220789</v>
      </c>
      <c r="H8" s="4">
        <v>1467757</v>
      </c>
      <c r="I8" s="4">
        <v>1633055</v>
      </c>
      <c r="J8" s="4">
        <v>1858834</v>
      </c>
      <c r="K8" s="4">
        <v>2107074</v>
      </c>
      <c r="L8" s="4">
        <v>2387197</v>
      </c>
      <c r="M8" s="4">
        <v>2733327</v>
      </c>
      <c r="N8" s="4">
        <v>2657150</v>
      </c>
      <c r="O8" s="4">
        <v>2870023</v>
      </c>
      <c r="P8" s="4">
        <v>3456805</v>
      </c>
      <c r="Q8" s="4">
        <v>3263492</v>
      </c>
      <c r="R8" s="4">
        <v>3457636</v>
      </c>
      <c r="S8" s="4">
        <v>3934508</v>
      </c>
      <c r="T8" s="4">
        <v>4117953</v>
      </c>
      <c r="U8" s="4">
        <v>4701175</v>
      </c>
      <c r="V8" s="4">
        <v>5212178</v>
      </c>
      <c r="W8" s="4">
        <v>6138918</v>
      </c>
      <c r="X8" s="4">
        <v>6257790</v>
      </c>
      <c r="Y8" s="4">
        <v>6306275</v>
      </c>
      <c r="Z8" s="4">
        <v>6768680</v>
      </c>
      <c r="AA8" s="4">
        <v>6926705</v>
      </c>
      <c r="AB8" s="4">
        <v>7637620</v>
      </c>
      <c r="AC8" s="4">
        <v>7346795</v>
      </c>
      <c r="AD8" s="4">
        <v>7179482</v>
      </c>
      <c r="AE8" s="4">
        <v>7559121</v>
      </c>
      <c r="AF8" s="4">
        <v>8434926</v>
      </c>
      <c r="AG8" s="4">
        <v>5721604</v>
      </c>
      <c r="AH8" s="4">
        <v>6268680</v>
      </c>
      <c r="AI8" s="4">
        <v>6547997</v>
      </c>
      <c r="AJ8" s="4">
        <v>6996804</v>
      </c>
      <c r="AK8" s="4">
        <v>7140022</v>
      </c>
      <c r="AL8" s="4">
        <v>7827080</v>
      </c>
      <c r="AM8" s="4">
        <v>3560345</v>
      </c>
      <c r="AN8" s="4">
        <v>3255140</v>
      </c>
      <c r="AO8" s="4">
        <v>3167200</v>
      </c>
      <c r="AP8" s="4">
        <v>2836561</v>
      </c>
      <c r="AQ8" s="4">
        <v>2683561</v>
      </c>
      <c r="AR8" s="4">
        <v>2554492</v>
      </c>
      <c r="AS8" s="4">
        <v>2498418</v>
      </c>
      <c r="AT8" s="4">
        <v>3329657</v>
      </c>
      <c r="AU8" s="4">
        <v>2334847</v>
      </c>
      <c r="AV8" s="4">
        <v>2376607</v>
      </c>
      <c r="AW8" s="4">
        <v>2103099</v>
      </c>
      <c r="AX8" s="4">
        <v>2199710</v>
      </c>
      <c r="AY8" s="4">
        <v>2018882</v>
      </c>
    </row>
    <row r="9" spans="1:51">
      <c r="A9" s="12"/>
      <c r="C9" s="3" t="s">
        <v>17</v>
      </c>
      <c r="D9" s="4">
        <v>22037182</v>
      </c>
      <c r="E9" s="4">
        <v>25646554</v>
      </c>
      <c r="F9" s="4">
        <v>28294334</v>
      </c>
      <c r="G9" s="4">
        <v>32233815</v>
      </c>
      <c r="H9" s="4">
        <v>35335037</v>
      </c>
      <c r="I9" s="4">
        <v>40305998</v>
      </c>
      <c r="J9" s="4">
        <v>44258985</v>
      </c>
      <c r="K9" s="4">
        <v>46638108</v>
      </c>
      <c r="L9" s="4">
        <v>48743676</v>
      </c>
      <c r="M9" s="4">
        <v>50206806</v>
      </c>
      <c r="N9" s="4">
        <v>52372877</v>
      </c>
      <c r="O9" s="4">
        <v>52756405</v>
      </c>
      <c r="P9" s="4">
        <v>56565258</v>
      </c>
      <c r="Q9" s="4">
        <v>56707269</v>
      </c>
      <c r="R9" s="4">
        <v>59200992</v>
      </c>
      <c r="S9" s="4">
        <v>62759599</v>
      </c>
      <c r="T9" s="4">
        <v>64459071</v>
      </c>
      <c r="U9" s="4">
        <v>68497004</v>
      </c>
      <c r="V9" s="4">
        <v>69587759</v>
      </c>
      <c r="W9" s="4">
        <v>69108130</v>
      </c>
      <c r="X9" s="4">
        <v>70065849</v>
      </c>
      <c r="Y9" s="4">
        <v>71436826</v>
      </c>
      <c r="Z9" s="4">
        <v>75282114</v>
      </c>
      <c r="AA9" s="4">
        <v>76813721</v>
      </c>
      <c r="AB9" s="4">
        <v>83627330</v>
      </c>
      <c r="AC9" s="4">
        <v>77467130</v>
      </c>
      <c r="AD9" s="4">
        <v>74969126</v>
      </c>
      <c r="AE9" s="4">
        <v>74784558</v>
      </c>
      <c r="AF9" s="4">
        <v>77136650</v>
      </c>
      <c r="AG9" s="4">
        <v>82584799</v>
      </c>
      <c r="AH9" s="4">
        <v>73700262</v>
      </c>
      <c r="AI9" s="4">
        <v>74684833</v>
      </c>
      <c r="AJ9" s="4">
        <v>74773211</v>
      </c>
      <c r="AK9" s="4">
        <v>74460796</v>
      </c>
      <c r="AL9" s="4">
        <v>73781806</v>
      </c>
      <c r="AM9" s="4">
        <v>71550871</v>
      </c>
      <c r="AN9" s="4">
        <v>70518319</v>
      </c>
      <c r="AO9" s="4">
        <v>69547462</v>
      </c>
      <c r="AP9" s="4">
        <v>70553789</v>
      </c>
      <c r="AQ9" s="4">
        <v>72966472</v>
      </c>
      <c r="AR9" s="4">
        <v>74600568</v>
      </c>
      <c r="AS9" s="4">
        <v>71896157</v>
      </c>
      <c r="AT9" s="9">
        <f t="shared" ref="AT9:AY9" si="0">SUM(AT3:AT8)</f>
        <v>71342917</v>
      </c>
      <c r="AU9" s="9">
        <f t="shared" si="0"/>
        <v>70814178</v>
      </c>
      <c r="AV9" s="9">
        <f t="shared" si="0"/>
        <v>70923775</v>
      </c>
      <c r="AW9" s="9">
        <f t="shared" si="0"/>
        <v>70648026</v>
      </c>
      <c r="AX9" s="9">
        <f t="shared" si="0"/>
        <v>70531612</v>
      </c>
      <c r="AY9" s="9">
        <f t="shared" si="0"/>
        <v>71815467</v>
      </c>
    </row>
    <row r="10" spans="1:51">
      <c r="A10" s="12"/>
      <c r="C10" s="10" t="s">
        <v>12</v>
      </c>
      <c r="D10" s="8">
        <f t="shared" ref="D10:AQ10" si="1">D9/D307*100</f>
        <v>1.9412906476670699</v>
      </c>
      <c r="E10" s="8">
        <f t="shared" ref="E10" si="2">E9/E307*100</f>
        <v>1.8271721691055984</v>
      </c>
      <c r="F10" s="8">
        <f t="shared" si="1"/>
        <v>1.8493161715541744</v>
      </c>
      <c r="G10" s="8">
        <f t="shared" si="1"/>
        <v>1.753358619759313</v>
      </c>
      <c r="H10" s="8">
        <f t="shared" si="1"/>
        <v>1.7705179115676237</v>
      </c>
      <c r="I10" s="8">
        <f t="shared" si="1"/>
        <v>1.868226632614127</v>
      </c>
      <c r="J10" s="8">
        <f t="shared" si="1"/>
        <v>1.8708509612928921</v>
      </c>
      <c r="K10" s="8">
        <f t="shared" si="1"/>
        <v>1.8381533961154266</v>
      </c>
      <c r="L10" s="8">
        <f t="shared" si="1"/>
        <v>1.8732273057930546</v>
      </c>
      <c r="M10" s="8">
        <f t="shared" si="1"/>
        <v>1.7154762619206794</v>
      </c>
      <c r="N10" s="8">
        <f t="shared" si="1"/>
        <v>1.7041048422086382</v>
      </c>
      <c r="O10" s="8">
        <f t="shared" si="1"/>
        <v>1.6561238494478978</v>
      </c>
      <c r="P10" s="8">
        <f t="shared" si="1"/>
        <v>1.63716374871077</v>
      </c>
      <c r="Q10" s="8">
        <f t="shared" si="1"/>
        <v>1.6128075917958191</v>
      </c>
      <c r="R10" s="8">
        <f t="shared" si="1"/>
        <v>1.5620817914368978</v>
      </c>
      <c r="S10" s="8">
        <f t="shared" si="1"/>
        <v>1.6413107407840948</v>
      </c>
      <c r="T10" s="8">
        <f t="shared" si="1"/>
        <v>1.5842492144968561</v>
      </c>
      <c r="U10" s="8">
        <f t="shared" si="1"/>
        <v>1.594454897507831</v>
      </c>
      <c r="V10" s="8">
        <f t="shared" si="1"/>
        <v>1.4948291271657987</v>
      </c>
      <c r="W10" s="8">
        <f t="shared" si="1"/>
        <v>1.4679361892550551</v>
      </c>
      <c r="X10" s="8">
        <f t="shared" si="1"/>
        <v>1.4678038533614912</v>
      </c>
      <c r="Y10" s="8">
        <f t="shared" si="1"/>
        <v>1.4788515870359189</v>
      </c>
      <c r="Z10" s="8">
        <f t="shared" si="1"/>
        <v>1.5170421894093833</v>
      </c>
      <c r="AA10" s="8">
        <f t="shared" si="1"/>
        <v>1.4406850723485087</v>
      </c>
      <c r="AB10" s="8">
        <f t="shared" si="1"/>
        <v>1.5920464065728477</v>
      </c>
      <c r="AC10" s="8">
        <f t="shared" si="1"/>
        <v>1.4821238358922311</v>
      </c>
      <c r="AD10" s="8">
        <f t="shared" si="1"/>
        <v>1.3858422189806487</v>
      </c>
      <c r="AE10" s="8">
        <f t="shared" si="1"/>
        <v>1.3893712039235482</v>
      </c>
      <c r="AF10" s="8">
        <f t="shared" si="1"/>
        <v>1.4100399533069978</v>
      </c>
      <c r="AG10" s="8">
        <f t="shared" si="1"/>
        <v>1.4231817448588011</v>
      </c>
      <c r="AH10" s="8">
        <f t="shared" si="1"/>
        <v>1.1807186043517386</v>
      </c>
      <c r="AI10" s="8">
        <f t="shared" si="1"/>
        <v>1.1908103528570857</v>
      </c>
      <c r="AJ10" s="8">
        <f t="shared" si="1"/>
        <v>1.1568086629850947</v>
      </c>
      <c r="AK10" s="8">
        <f t="shared" si="1"/>
        <v>1.1427243195550778</v>
      </c>
      <c r="AL10" s="8">
        <f t="shared" si="1"/>
        <v>1.1002039537482198</v>
      </c>
      <c r="AM10" s="8">
        <f t="shared" si="1"/>
        <v>1.0956575721218604</v>
      </c>
      <c r="AN10" s="8">
        <f t="shared" si="1"/>
        <v>1.0482379726865836</v>
      </c>
      <c r="AO10" s="8">
        <f t="shared" si="1"/>
        <v>1.0338592069951369</v>
      </c>
      <c r="AP10" s="8">
        <f t="shared" si="1"/>
        <v>1.0183511396311995</v>
      </c>
      <c r="AQ10" s="8">
        <f t="shared" si="1"/>
        <v>1.027677476646202</v>
      </c>
      <c r="AR10" s="8">
        <f t="shared" ref="AR10:AS10" si="3">AR9/AR307*100</f>
        <v>1.0313296429353078</v>
      </c>
      <c r="AS10" s="8">
        <f t="shared" si="3"/>
        <v>1.010010592711613</v>
      </c>
      <c r="AT10" s="40">
        <f t="shared" ref="AT10:AY10" si="4">AT9/AT307*100</f>
        <v>1.0064967889328484</v>
      </c>
      <c r="AU10" s="40">
        <f t="shared" si="4"/>
        <v>0.99281737077011201</v>
      </c>
      <c r="AV10" s="40">
        <f t="shared" si="4"/>
        <v>0.97789233560647459</v>
      </c>
      <c r="AW10" s="40">
        <f t="shared" si="4"/>
        <v>0.96019372816298165</v>
      </c>
      <c r="AX10" s="40">
        <f t="shared" si="4"/>
        <v>0.95201430133544584</v>
      </c>
      <c r="AY10" s="40">
        <f t="shared" si="4"/>
        <v>0.68267164594954022</v>
      </c>
    </row>
    <row r="11" spans="1:51">
      <c r="A11" s="12"/>
      <c r="C11" s="10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Q11" s="4"/>
      <c r="AR11" s="4"/>
      <c r="AS11" s="4"/>
      <c r="AT11" s="4"/>
      <c r="AU11" s="4"/>
      <c r="AV11" s="4"/>
      <c r="AW11" s="4"/>
      <c r="AX11" s="4"/>
      <c r="AY11" s="4"/>
    </row>
    <row r="12" spans="1:51" s="2" customFormat="1">
      <c r="A12" s="13"/>
      <c r="C12" s="3"/>
      <c r="D12" s="1">
        <f t="shared" ref="D12:O12" si="5">D2</f>
        <v>1975</v>
      </c>
      <c r="E12" s="1">
        <f t="shared" ref="E12" si="6">E2</f>
        <v>76</v>
      </c>
      <c r="F12" s="1">
        <f t="shared" si="5"/>
        <v>77</v>
      </c>
      <c r="G12" s="1">
        <f t="shared" si="5"/>
        <v>78</v>
      </c>
      <c r="H12" s="1">
        <f t="shared" si="5"/>
        <v>79</v>
      </c>
      <c r="I12" s="1">
        <f t="shared" si="5"/>
        <v>80</v>
      </c>
      <c r="J12" s="1">
        <f t="shared" si="5"/>
        <v>81</v>
      </c>
      <c r="K12" s="1">
        <f t="shared" si="5"/>
        <v>82</v>
      </c>
      <c r="L12" s="1">
        <f t="shared" si="5"/>
        <v>83</v>
      </c>
      <c r="M12" s="1">
        <f t="shared" si="5"/>
        <v>84</v>
      </c>
      <c r="N12" s="1">
        <f t="shared" si="5"/>
        <v>85</v>
      </c>
      <c r="O12" s="1">
        <f t="shared" si="5"/>
        <v>86</v>
      </c>
      <c r="P12" s="1">
        <f t="shared" ref="P12:AQ12" si="7">P2</f>
        <v>87</v>
      </c>
      <c r="Q12" s="1">
        <f t="shared" si="7"/>
        <v>88</v>
      </c>
      <c r="R12" s="1">
        <f t="shared" si="7"/>
        <v>89</v>
      </c>
      <c r="S12" s="1" t="str">
        <f t="shared" si="7"/>
        <v>90</v>
      </c>
      <c r="T12" s="1" t="str">
        <f t="shared" si="7"/>
        <v>91</v>
      </c>
      <c r="U12" s="1" t="str">
        <f t="shared" si="7"/>
        <v>92</v>
      </c>
      <c r="V12" s="1" t="str">
        <f t="shared" si="7"/>
        <v>93</v>
      </c>
      <c r="W12" s="1" t="str">
        <f t="shared" si="7"/>
        <v>94</v>
      </c>
      <c r="X12" s="1" t="str">
        <f t="shared" si="7"/>
        <v>95</v>
      </c>
      <c r="Y12" s="1" t="str">
        <f t="shared" si="7"/>
        <v>96</v>
      </c>
      <c r="Z12" s="1" t="str">
        <f t="shared" si="7"/>
        <v>97</v>
      </c>
      <c r="AA12" s="1" t="str">
        <f t="shared" si="7"/>
        <v>98</v>
      </c>
      <c r="AB12" s="1" t="str">
        <f t="shared" si="7"/>
        <v>99</v>
      </c>
      <c r="AC12" s="1" t="str">
        <f t="shared" si="7"/>
        <v>2000</v>
      </c>
      <c r="AD12" s="1" t="str">
        <f t="shared" si="7"/>
        <v>01</v>
      </c>
      <c r="AE12" s="1" t="str">
        <f t="shared" si="7"/>
        <v>02</v>
      </c>
      <c r="AF12" s="1" t="str">
        <f t="shared" si="7"/>
        <v>03</v>
      </c>
      <c r="AG12" s="1" t="str">
        <f t="shared" si="7"/>
        <v>04</v>
      </c>
      <c r="AH12" s="1" t="str">
        <f t="shared" si="7"/>
        <v>05</v>
      </c>
      <c r="AI12" s="1" t="str">
        <f t="shared" si="7"/>
        <v>06</v>
      </c>
      <c r="AJ12" s="1" t="str">
        <f t="shared" si="7"/>
        <v>07</v>
      </c>
      <c r="AK12" s="1" t="str">
        <f t="shared" si="7"/>
        <v>08</v>
      </c>
      <c r="AL12" s="1" t="str">
        <f t="shared" si="7"/>
        <v>09</v>
      </c>
      <c r="AM12" s="1" t="str">
        <f t="shared" si="7"/>
        <v>10</v>
      </c>
      <c r="AN12" s="1" t="str">
        <f t="shared" si="7"/>
        <v>11</v>
      </c>
      <c r="AO12" s="1" t="str">
        <f t="shared" si="7"/>
        <v>12</v>
      </c>
      <c r="AP12" s="1" t="str">
        <f t="shared" si="7"/>
        <v>13</v>
      </c>
      <c r="AQ12" s="1" t="str">
        <f t="shared" si="7"/>
        <v>14</v>
      </c>
      <c r="AR12" s="1" t="str">
        <f t="shared" ref="AR12:AS12" si="8">AR2</f>
        <v>15</v>
      </c>
      <c r="AS12" s="1" t="str">
        <f t="shared" si="8"/>
        <v>16</v>
      </c>
      <c r="AT12" s="1" t="str">
        <f t="shared" ref="AT12" si="9">AT2</f>
        <v>17</v>
      </c>
      <c r="AU12" s="1">
        <v>18</v>
      </c>
      <c r="AV12" s="1">
        <v>19</v>
      </c>
      <c r="AW12" s="1">
        <v>20</v>
      </c>
      <c r="AX12" s="1">
        <v>21</v>
      </c>
      <c r="AY12" s="1">
        <v>22</v>
      </c>
    </row>
    <row r="13" spans="1:51">
      <c r="A13" s="12" t="s">
        <v>1</v>
      </c>
      <c r="B13" s="3" t="s">
        <v>20</v>
      </c>
      <c r="C13" s="3" t="s">
        <v>8</v>
      </c>
      <c r="D13" s="4">
        <v>33142</v>
      </c>
      <c r="E13" s="4">
        <v>37399</v>
      </c>
      <c r="F13" s="4">
        <v>41526</v>
      </c>
      <c r="G13" s="4">
        <v>48024</v>
      </c>
      <c r="H13" s="4">
        <v>52081</v>
      </c>
      <c r="I13" s="4">
        <v>57433</v>
      </c>
      <c r="J13" s="4">
        <v>61249</v>
      </c>
      <c r="K13" s="4">
        <v>61536</v>
      </c>
      <c r="L13" s="4">
        <f>30044+31107</f>
        <v>61151</v>
      </c>
      <c r="M13" s="4">
        <f>31626+32116</f>
        <v>63742</v>
      </c>
      <c r="N13" s="4">
        <f>31760+34318</f>
        <v>66078</v>
      </c>
      <c r="O13" s="4">
        <f>32621+31300</f>
        <v>63921</v>
      </c>
      <c r="P13" s="4">
        <f>32825+35663</f>
        <v>68488</v>
      </c>
      <c r="Q13" s="4">
        <f>34104+31879</f>
        <v>65983</v>
      </c>
      <c r="R13" s="4">
        <f>34267+33580</f>
        <v>67847</v>
      </c>
      <c r="S13" s="4">
        <f>33919+34201</f>
        <v>68120</v>
      </c>
      <c r="T13" s="4">
        <f>34191+32294</f>
        <v>66485</v>
      </c>
      <c r="U13" s="4">
        <f>35552+34164</f>
        <v>69716</v>
      </c>
      <c r="V13" s="4">
        <f>35920+31159</f>
        <v>67079</v>
      </c>
      <c r="W13" s="4">
        <f>36350+28953</f>
        <v>65303</v>
      </c>
      <c r="X13" s="4">
        <f>36667+27731</f>
        <v>64398</v>
      </c>
      <c r="Y13" s="4">
        <f>35809+26442</f>
        <v>62251</v>
      </c>
      <c r="Z13" s="4">
        <f>34738+26321</f>
        <v>61059</v>
      </c>
      <c r="AA13" s="4">
        <f>32047+24945</f>
        <v>56992</v>
      </c>
      <c r="AB13" s="4">
        <f>35703+24240</f>
        <v>59943</v>
      </c>
      <c r="AC13" s="4">
        <f>32106+21251</f>
        <v>53357</v>
      </c>
      <c r="AD13" s="4">
        <v>49527</v>
      </c>
      <c r="AE13" s="4">
        <v>45670</v>
      </c>
      <c r="AF13" s="4">
        <v>45857</v>
      </c>
      <c r="AG13" s="4">
        <v>41760</v>
      </c>
      <c r="AH13" s="4">
        <v>40368</v>
      </c>
      <c r="AI13" s="4">
        <v>37998</v>
      </c>
      <c r="AJ13" s="4">
        <v>35905</v>
      </c>
      <c r="AK13" s="4">
        <v>33971</v>
      </c>
      <c r="AL13" s="4">
        <v>33852</v>
      </c>
      <c r="AM13" s="4">
        <v>30997</v>
      </c>
      <c r="AN13" s="4">
        <v>29220</v>
      </c>
      <c r="AO13" s="4">
        <v>28283</v>
      </c>
      <c r="AP13" s="4">
        <v>26842</v>
      </c>
      <c r="AQ13" s="4">
        <v>25119</v>
      </c>
      <c r="AR13" s="4">
        <v>24860</v>
      </c>
      <c r="AS13" s="4">
        <v>21648.026819923372</v>
      </c>
      <c r="AT13" s="4">
        <v>21151</v>
      </c>
      <c r="AU13" s="4">
        <v>19817</v>
      </c>
      <c r="AV13" s="4">
        <v>18236.671660423999</v>
      </c>
      <c r="AW13" s="4">
        <v>16973.414091470953</v>
      </c>
      <c r="AX13" s="4">
        <v>16224</v>
      </c>
      <c r="AY13" s="4">
        <v>15004</v>
      </c>
    </row>
    <row r="14" spans="1:51">
      <c r="A14" s="12"/>
      <c r="B14" s="3" t="s">
        <v>21</v>
      </c>
      <c r="C14" s="3" t="s">
        <v>9</v>
      </c>
      <c r="D14" s="4">
        <v>17939</v>
      </c>
      <c r="E14" s="4">
        <v>21104</v>
      </c>
      <c r="F14" s="4">
        <v>22093</v>
      </c>
      <c r="G14" s="4">
        <v>23766</v>
      </c>
      <c r="H14" s="4">
        <v>24369</v>
      </c>
      <c r="I14" s="4">
        <v>29278</v>
      </c>
      <c r="J14" s="4">
        <v>32764</v>
      </c>
      <c r="K14" s="4">
        <f>6900+29866</f>
        <v>36766</v>
      </c>
      <c r="L14" s="4">
        <f>7336+33396</f>
        <v>40732</v>
      </c>
      <c r="M14" s="4">
        <f>7633+31828</f>
        <v>39461</v>
      </c>
      <c r="N14" s="4">
        <f>7906+32931</f>
        <v>40837</v>
      </c>
      <c r="O14" s="4">
        <f>8130+33417</f>
        <v>41547</v>
      </c>
      <c r="P14" s="4">
        <f>7966+32152</f>
        <v>40118</v>
      </c>
      <c r="Q14" s="4">
        <f>8785+32982</f>
        <v>41767</v>
      </c>
      <c r="R14" s="4">
        <f>8903+33197</f>
        <v>42100</v>
      </c>
      <c r="S14" s="4">
        <f>9267+37058</f>
        <v>46325</v>
      </c>
      <c r="T14" s="4">
        <f>9842+39049</f>
        <v>48891</v>
      </c>
      <c r="U14" s="4">
        <f>9837+39914</f>
        <v>49751</v>
      </c>
      <c r="V14" s="4">
        <f>9985+39558</f>
        <v>49543</v>
      </c>
      <c r="W14" s="4">
        <f>9982+36165</f>
        <v>46147</v>
      </c>
      <c r="X14" s="4">
        <f>9932+36448</f>
        <v>46380</v>
      </c>
      <c r="Y14" s="4">
        <f>9886+39008</f>
        <v>48894</v>
      </c>
      <c r="Z14" s="4">
        <f>9604+42770</f>
        <v>52374</v>
      </c>
      <c r="AA14" s="4">
        <f>9411+45955</f>
        <v>55366</v>
      </c>
      <c r="AB14" s="4">
        <f>9685+47279</f>
        <v>56964</v>
      </c>
      <c r="AC14" s="4">
        <f>9161+42140</f>
        <v>51301</v>
      </c>
      <c r="AD14" s="4">
        <v>49291</v>
      </c>
      <c r="AE14" s="4">
        <v>50503</v>
      </c>
      <c r="AF14" s="4">
        <v>51179</v>
      </c>
      <c r="AG14" s="4">
        <v>56935</v>
      </c>
      <c r="AH14" s="4">
        <v>39137</v>
      </c>
      <c r="AI14" s="4">
        <v>36925</v>
      </c>
      <c r="AJ14" s="4">
        <v>33576</v>
      </c>
      <c r="AK14" s="4">
        <v>30347</v>
      </c>
      <c r="AL14" s="4">
        <v>26084</v>
      </c>
      <c r="AM14" s="4">
        <v>22710</v>
      </c>
      <c r="AN14" s="4">
        <v>20802</v>
      </c>
      <c r="AO14" s="4">
        <v>18938</v>
      </c>
      <c r="AP14" s="4">
        <v>18587</v>
      </c>
      <c r="AQ14" s="4">
        <v>19175</v>
      </c>
      <c r="AR14" s="4">
        <v>18808</v>
      </c>
      <c r="AS14" s="4">
        <v>16934.934865900384</v>
      </c>
      <c r="AT14" s="4">
        <v>15510</v>
      </c>
      <c r="AU14" s="4">
        <v>14610</v>
      </c>
      <c r="AV14" s="4">
        <v>13735.72659176</v>
      </c>
      <c r="AW14" s="4">
        <v>12803.939431396786</v>
      </c>
      <c r="AX14" s="4">
        <v>12303</v>
      </c>
      <c r="AY14" s="4">
        <v>12183</v>
      </c>
    </row>
    <row r="15" spans="1:51">
      <c r="A15" s="12"/>
      <c r="C15" s="3" t="s">
        <v>11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AG15" s="4">
        <v>8656</v>
      </c>
      <c r="AH15" s="4">
        <v>12364</v>
      </c>
      <c r="AI15" s="4">
        <v>16291</v>
      </c>
      <c r="AJ15" s="4">
        <v>20646</v>
      </c>
      <c r="AK15" s="4">
        <v>24262</v>
      </c>
      <c r="AL15" s="4">
        <v>26392</v>
      </c>
      <c r="AM15" s="4">
        <v>26937</v>
      </c>
      <c r="AN15" s="4">
        <v>27989</v>
      </c>
      <c r="AO15" s="4">
        <v>29389</v>
      </c>
      <c r="AP15" s="4">
        <v>31574</v>
      </c>
      <c r="AQ15" s="4">
        <v>35391</v>
      </c>
      <c r="AR15" s="4">
        <v>37875</v>
      </c>
      <c r="AS15" s="4">
        <v>38623.45593869732</v>
      </c>
      <c r="AT15" s="4">
        <v>37831</v>
      </c>
      <c r="AU15" s="4">
        <v>39741</v>
      </c>
      <c r="AV15" s="4">
        <v>40567.651685393001</v>
      </c>
      <c r="AW15" s="4">
        <v>40252.914709517921</v>
      </c>
      <c r="AX15" s="4">
        <v>40512</v>
      </c>
      <c r="AY15" s="4">
        <v>43643</v>
      </c>
    </row>
    <row r="16" spans="1:51">
      <c r="A16" s="12"/>
      <c r="C16" s="3" t="s">
        <v>23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AM16" s="4">
        <v>846</v>
      </c>
      <c r="AN16" s="4">
        <v>939</v>
      </c>
      <c r="AO16" s="4">
        <v>1300</v>
      </c>
      <c r="AP16" s="4">
        <v>1212</v>
      </c>
      <c r="AQ16" s="4">
        <v>1320</v>
      </c>
      <c r="AR16" s="4">
        <v>1369</v>
      </c>
      <c r="AS16" s="4">
        <v>1617.6666666666667</v>
      </c>
      <c r="AT16" s="4">
        <v>1961</v>
      </c>
      <c r="AU16" s="4">
        <v>1956</v>
      </c>
      <c r="AV16" s="4">
        <v>2105.6329588015001</v>
      </c>
      <c r="AW16" s="4">
        <v>3529.3040791100125</v>
      </c>
      <c r="AX16" s="4">
        <v>3506</v>
      </c>
      <c r="AY16" s="4">
        <v>2898</v>
      </c>
    </row>
    <row r="17" spans="1:51">
      <c r="A17" s="12"/>
      <c r="C17" s="3" t="s">
        <v>24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AM17" s="4">
        <v>6925</v>
      </c>
      <c r="AN17" s="4">
        <v>7506</v>
      </c>
      <c r="AO17" s="4">
        <v>7852</v>
      </c>
      <c r="AP17" s="4">
        <v>8714</v>
      </c>
      <c r="AQ17" s="4">
        <v>9211</v>
      </c>
      <c r="AR17" s="4">
        <v>9693</v>
      </c>
      <c r="AS17" s="4">
        <v>9806.4891443167307</v>
      </c>
      <c r="AT17" s="4">
        <v>10079</v>
      </c>
      <c r="AU17" s="4">
        <v>10341</v>
      </c>
      <c r="AV17" s="4">
        <v>10931.305867665</v>
      </c>
      <c r="AW17" s="4">
        <v>11168.396786155748</v>
      </c>
      <c r="AX17" s="4">
        <v>11711</v>
      </c>
      <c r="AY17" s="4">
        <v>12228</v>
      </c>
    </row>
    <row r="18" spans="1:51">
      <c r="A18" s="12"/>
      <c r="C18" s="3" t="s">
        <v>10</v>
      </c>
      <c r="D18" s="4">
        <v>1513</v>
      </c>
      <c r="E18" s="4">
        <v>1700</v>
      </c>
      <c r="F18" s="4">
        <v>2182</v>
      </c>
      <c r="G18" s="4">
        <v>2826</v>
      </c>
      <c r="H18" s="4">
        <v>3313</v>
      </c>
      <c r="I18" s="4">
        <v>3662</v>
      </c>
      <c r="J18" s="4">
        <v>4122</v>
      </c>
      <c r="K18" s="4">
        <v>4651</v>
      </c>
      <c r="L18" s="4">
        <v>5247</v>
      </c>
      <c r="M18" s="4">
        <v>5942</v>
      </c>
      <c r="N18" s="4">
        <v>5714</v>
      </c>
      <c r="O18" s="4">
        <v>6068</v>
      </c>
      <c r="P18" s="4">
        <v>7069</v>
      </c>
      <c r="Q18" s="4">
        <v>6580</v>
      </c>
      <c r="R18" s="4">
        <v>6820</v>
      </c>
      <c r="S18" s="4">
        <v>7655</v>
      </c>
      <c r="T18" s="4">
        <v>7874</v>
      </c>
      <c r="U18" s="4">
        <v>8804</v>
      </c>
      <c r="V18" s="4">
        <v>9442</v>
      </c>
      <c r="W18" s="4">
        <v>10865</v>
      </c>
      <c r="X18" s="4">
        <v>10864</v>
      </c>
      <c r="Y18" s="4">
        <v>10762</v>
      </c>
      <c r="Z18" s="4">
        <v>11206</v>
      </c>
      <c r="AA18" s="4">
        <v>11136</v>
      </c>
      <c r="AB18" s="4">
        <v>11750</v>
      </c>
      <c r="AC18" s="4">
        <v>10965</v>
      </c>
      <c r="AD18" s="4">
        <v>10466</v>
      </c>
      <c r="AE18" s="4">
        <v>10814</v>
      </c>
      <c r="AF18" s="4">
        <v>11914</v>
      </c>
      <c r="AG18" s="4">
        <v>7991</v>
      </c>
      <c r="AH18" s="4">
        <v>8540</v>
      </c>
      <c r="AI18" s="4">
        <v>8766</v>
      </c>
      <c r="AJ18" s="4">
        <v>9304</v>
      </c>
      <c r="AK18" s="4">
        <v>9395</v>
      </c>
      <c r="AL18" s="4">
        <v>10245</v>
      </c>
      <c r="AM18" s="4">
        <v>4630</v>
      </c>
      <c r="AN18" s="4">
        <v>4184</v>
      </c>
      <c r="AO18" s="4">
        <v>4092</v>
      </c>
      <c r="AP18" s="4">
        <v>3641</v>
      </c>
      <c r="AQ18" s="4">
        <v>3445</v>
      </c>
      <c r="AR18" s="4">
        <v>3283</v>
      </c>
      <c r="AS18" s="4">
        <v>3190.8275862068967</v>
      </c>
      <c r="AT18" s="4">
        <v>4236</v>
      </c>
      <c r="AU18" s="4">
        <v>2948</v>
      </c>
      <c r="AV18" s="4">
        <v>2967.049937578</v>
      </c>
      <c r="AW18" s="4">
        <v>2599.6279357231151</v>
      </c>
      <c r="AX18" s="4">
        <v>2712</v>
      </c>
      <c r="AY18" s="4">
        <v>2486</v>
      </c>
    </row>
    <row r="19" spans="1:51">
      <c r="A19" s="12"/>
      <c r="C19" s="3" t="s">
        <v>17</v>
      </c>
      <c r="D19" s="4">
        <v>52595</v>
      </c>
      <c r="E19" s="4">
        <v>60203</v>
      </c>
      <c r="F19" s="4">
        <v>65801</v>
      </c>
      <c r="G19" s="4">
        <v>74615</v>
      </c>
      <c r="H19" s="4">
        <v>79763</v>
      </c>
      <c r="I19" s="4">
        <v>90372</v>
      </c>
      <c r="J19" s="4">
        <v>98135</v>
      </c>
      <c r="K19" s="4">
        <v>102954</v>
      </c>
      <c r="L19" s="4">
        <v>107127</v>
      </c>
      <c r="M19" s="4">
        <v>109145</v>
      </c>
      <c r="N19" s="4">
        <v>112630</v>
      </c>
      <c r="O19" s="4">
        <v>111536</v>
      </c>
      <c r="P19" s="4">
        <v>115675</v>
      </c>
      <c r="Q19" s="4">
        <v>114329</v>
      </c>
      <c r="R19" s="4">
        <v>116767</v>
      </c>
      <c r="S19" s="4">
        <v>122100</v>
      </c>
      <c r="T19" s="4">
        <v>123249</v>
      </c>
      <c r="U19" s="4">
        <v>128272</v>
      </c>
      <c r="V19" s="4">
        <v>126065</v>
      </c>
      <c r="W19" s="4">
        <v>122315</v>
      </c>
      <c r="X19" s="4">
        <v>121643</v>
      </c>
      <c r="Y19" s="4">
        <v>121906</v>
      </c>
      <c r="Z19" s="4">
        <v>124639</v>
      </c>
      <c r="AA19" s="4">
        <v>123495</v>
      </c>
      <c r="AB19" s="4">
        <v>128657</v>
      </c>
      <c r="AC19" s="4">
        <v>115623</v>
      </c>
      <c r="AD19" s="4">
        <v>109284</v>
      </c>
      <c r="AE19" s="4">
        <v>106988</v>
      </c>
      <c r="AF19" s="4">
        <v>108950</v>
      </c>
      <c r="AG19" s="4">
        <v>115342</v>
      </c>
      <c r="AH19" s="4">
        <v>100409</v>
      </c>
      <c r="AI19" s="4">
        <v>99980</v>
      </c>
      <c r="AJ19" s="4">
        <v>99432</v>
      </c>
      <c r="AK19" s="4">
        <v>97975</v>
      </c>
      <c r="AL19" s="4">
        <v>96573</v>
      </c>
      <c r="AM19" s="4">
        <v>93044</v>
      </c>
      <c r="AN19" s="4">
        <v>90641</v>
      </c>
      <c r="AO19" s="4">
        <v>89855</v>
      </c>
      <c r="AP19" s="4">
        <v>90570</v>
      </c>
      <c r="AQ19" s="4">
        <v>93667</v>
      </c>
      <c r="AR19" s="4">
        <v>95888</v>
      </c>
      <c r="AS19" s="4">
        <v>91821.401021711368</v>
      </c>
      <c r="AT19" s="4">
        <v>90767</v>
      </c>
      <c r="AU19" s="4">
        <v>89412</v>
      </c>
      <c r="AV19" s="4">
        <v>88544.038701622994</v>
      </c>
      <c r="AW19" s="4">
        <v>87327.597033374535</v>
      </c>
      <c r="AX19" s="4">
        <v>86968.695437731192</v>
      </c>
      <c r="AY19" s="9">
        <v>88443</v>
      </c>
    </row>
    <row r="20" spans="1:51">
      <c r="A20" s="12"/>
      <c r="C20" s="10" t="s">
        <v>12</v>
      </c>
      <c r="D20" s="8">
        <f t="shared" ref="D20:AQ20" si="10">D19/D325*100</f>
        <v>1.9414913252122554</v>
      </c>
      <c r="E20" s="8">
        <f t="shared" ref="E20" si="11">E19/E325*100</f>
        <v>1.8271016691957509</v>
      </c>
      <c r="F20" s="8">
        <f t="shared" si="10"/>
        <v>1.8493816750983698</v>
      </c>
      <c r="G20" s="8">
        <f t="shared" si="10"/>
        <v>1.753171992481203</v>
      </c>
      <c r="H20" s="8">
        <f t="shared" si="10"/>
        <v>1.7705163293800095</v>
      </c>
      <c r="I20" s="8">
        <f t="shared" si="10"/>
        <v>1.8682226230406267</v>
      </c>
      <c r="J20" s="8">
        <f t="shared" si="10"/>
        <v>1.8708466670199864</v>
      </c>
      <c r="K20" s="8">
        <f t="shared" si="10"/>
        <v>1.8381554099570054</v>
      </c>
      <c r="L20" s="8">
        <f t="shared" si="10"/>
        <v>1.8731931782594395</v>
      </c>
      <c r="M20" s="8">
        <f t="shared" si="10"/>
        <v>1.7154725105530362</v>
      </c>
      <c r="N20" s="8">
        <f t="shared" si="10"/>
        <v>1.7041071964070165</v>
      </c>
      <c r="O20" s="8">
        <f t="shared" si="10"/>
        <v>1.6561277886352359</v>
      </c>
      <c r="P20" s="8">
        <f t="shared" si="10"/>
        <v>1.6371584223043607</v>
      </c>
      <c r="Q20" s="8">
        <f t="shared" si="10"/>
        <v>1.6128051614730725</v>
      </c>
      <c r="R20" s="8">
        <f t="shared" si="10"/>
        <v>1.562078601180666</v>
      </c>
      <c r="S20" s="8">
        <f t="shared" si="10"/>
        <v>1.6413055167222281</v>
      </c>
      <c r="T20" s="8">
        <f t="shared" si="10"/>
        <v>1.584253128812843</v>
      </c>
      <c r="U20" s="8">
        <f t="shared" si="10"/>
        <v>1.5944606563302841</v>
      </c>
      <c r="V20" s="8">
        <f t="shared" si="10"/>
        <v>1.4948316756569213</v>
      </c>
      <c r="W20" s="8">
        <f t="shared" si="10"/>
        <v>1.4679329586142877</v>
      </c>
      <c r="X20" s="8">
        <f t="shared" si="10"/>
        <v>1.4678146969466974</v>
      </c>
      <c r="Y20" s="8">
        <f t="shared" si="10"/>
        <v>1.4788534367032145</v>
      </c>
      <c r="Z20" s="8">
        <f t="shared" si="10"/>
        <v>1.5170390140433125</v>
      </c>
      <c r="AA20" s="8">
        <f t="shared" si="10"/>
        <v>1.4406881985360382</v>
      </c>
      <c r="AB20" s="8">
        <f t="shared" si="10"/>
        <v>1.5920411430839814</v>
      </c>
      <c r="AC20" s="8">
        <f t="shared" si="10"/>
        <v>1.4821291549365465</v>
      </c>
      <c r="AD20" s="8">
        <f t="shared" si="10"/>
        <v>1.3858366289286865</v>
      </c>
      <c r="AE20" s="8">
        <f t="shared" si="10"/>
        <v>1.3893722657463403</v>
      </c>
      <c r="AF20" s="8">
        <f t="shared" si="10"/>
        <v>1.4100391161287249</v>
      </c>
      <c r="AG20" s="8">
        <f t="shared" si="10"/>
        <v>1.4231830700663051</v>
      </c>
      <c r="AH20" s="8">
        <f t="shared" si="10"/>
        <v>1.1807176920684403</v>
      </c>
      <c r="AI20" s="8">
        <f t="shared" si="10"/>
        <v>1.1908139388356607</v>
      </c>
      <c r="AJ20" s="8">
        <f t="shared" si="10"/>
        <v>1.1568033221448049</v>
      </c>
      <c r="AK20" s="8">
        <f t="shared" si="10"/>
        <v>1.1427275118282065</v>
      </c>
      <c r="AL20" s="8">
        <f t="shared" si="10"/>
        <v>1.1002034692301206</v>
      </c>
      <c r="AM20" s="8">
        <f t="shared" si="10"/>
        <v>1.0956570910306587</v>
      </c>
      <c r="AN20" s="8">
        <f t="shared" si="10"/>
        <v>1.0482436561373156</v>
      </c>
      <c r="AO20" s="8">
        <f t="shared" si="10"/>
        <v>1.0338637405444413</v>
      </c>
      <c r="AP20" s="8">
        <f t="shared" si="10"/>
        <v>1.0183546707702189</v>
      </c>
      <c r="AQ20" s="8">
        <f t="shared" si="10"/>
        <v>1.0276792160115509</v>
      </c>
      <c r="AR20" s="8">
        <f t="shared" ref="AR20:AS20" si="12">AR19/AR325*100</f>
        <v>1.0313337761058783</v>
      </c>
      <c r="AS20" s="8">
        <f t="shared" si="12"/>
        <v>1.0100105927116132</v>
      </c>
      <c r="AT20" s="40">
        <f t="shared" ref="AT20:AY20" si="13">AT19/AT325*100</f>
        <v>1.0064960129998517</v>
      </c>
      <c r="AU20" s="40">
        <f t="shared" si="13"/>
        <v>0.9928191372947297</v>
      </c>
      <c r="AV20" s="40">
        <f t="shared" si="13"/>
        <v>0.97789233560647471</v>
      </c>
      <c r="AW20" s="40">
        <f t="shared" si="13"/>
        <v>0.96019372816298143</v>
      </c>
      <c r="AX20" s="40">
        <f t="shared" si="13"/>
        <v>0.95201430133544562</v>
      </c>
      <c r="AY20" s="40">
        <f t="shared" si="13"/>
        <v>0.68267401292210106</v>
      </c>
    </row>
    <row r="21" spans="1:51">
      <c r="A21" s="12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1:51" s="22" customFormat="1">
      <c r="A22" s="21" t="s">
        <v>0</v>
      </c>
      <c r="B22" s="22" t="s">
        <v>1</v>
      </c>
      <c r="C22" s="22" t="s">
        <v>8</v>
      </c>
      <c r="D22" s="23">
        <v>5775292</v>
      </c>
      <c r="E22" s="23">
        <v>6381598</v>
      </c>
      <c r="F22" s="23">
        <v>6881884</v>
      </c>
      <c r="G22" s="23">
        <v>8055761</v>
      </c>
      <c r="H22" s="23">
        <v>9257470</v>
      </c>
      <c r="I22" s="23">
        <v>9988215</v>
      </c>
      <c r="J22" s="23">
        <v>10639546</v>
      </c>
      <c r="K22" s="23">
        <v>10251259</v>
      </c>
      <c r="L22" s="23">
        <f>4426282+5311537</f>
        <v>9737819</v>
      </c>
      <c r="M22" s="23">
        <f>4690320+5332014</f>
        <v>10022334</v>
      </c>
      <c r="N22" s="23">
        <f>4492402+4940542</f>
        <v>9432944</v>
      </c>
      <c r="O22" s="23">
        <f>4487990+4792530</f>
        <v>9280520</v>
      </c>
      <c r="P22" s="23">
        <f>4767656+7019929</f>
        <v>11787585</v>
      </c>
      <c r="Q22" s="23">
        <f>4796850+4879305</f>
        <v>9676155</v>
      </c>
      <c r="R22" s="23">
        <f>4980255+4933300</f>
        <v>9913555</v>
      </c>
      <c r="S22" s="23">
        <f>4818139+4988134</f>
        <v>9806273</v>
      </c>
      <c r="T22" s="23">
        <f>4591274+4647475</f>
        <v>9238749</v>
      </c>
      <c r="U22" s="23">
        <f>4636919+4555675</f>
        <v>9192594</v>
      </c>
      <c r="V22" s="23">
        <f>4523819+4377068</f>
        <v>8900887</v>
      </c>
      <c r="W22" s="23">
        <f>4563598+4170306</f>
        <v>8733904</v>
      </c>
      <c r="X22" s="23">
        <f>4851190+4093414</f>
        <v>8944604</v>
      </c>
      <c r="Y22" s="23">
        <f>4830751+4201502</f>
        <v>9032253</v>
      </c>
      <c r="Z22" s="23">
        <f>4941585+4426252</f>
        <v>9367837</v>
      </c>
      <c r="AA22" s="23">
        <f>4572461+4233033</f>
        <v>8805494</v>
      </c>
      <c r="AB22" s="23">
        <f>4653656+3878278</f>
        <v>8531934</v>
      </c>
      <c r="AC22" s="23">
        <f>4656913+3549422</f>
        <v>8206335</v>
      </c>
      <c r="AD22" s="23">
        <v>8037112</v>
      </c>
      <c r="AE22" s="23">
        <v>7522482</v>
      </c>
      <c r="AF22" s="23">
        <v>7130873</v>
      </c>
      <c r="AG22" s="23">
        <v>6112309</v>
      </c>
      <c r="AH22" s="23">
        <v>6434944</v>
      </c>
      <c r="AI22" s="23">
        <v>5873909</v>
      </c>
      <c r="AJ22" s="23">
        <v>5924984</v>
      </c>
      <c r="AK22" s="23">
        <v>5801361</v>
      </c>
      <c r="AL22" s="23">
        <v>6635557</v>
      </c>
      <c r="AM22" s="23">
        <v>5422615</v>
      </c>
      <c r="AN22" s="23">
        <v>5279655</v>
      </c>
      <c r="AO22" s="23">
        <v>5064454</v>
      </c>
      <c r="AP22" s="23">
        <v>4877239</v>
      </c>
      <c r="AQ22" s="23">
        <v>4461775</v>
      </c>
      <c r="AR22" s="23">
        <v>4157914</v>
      </c>
      <c r="AS22" s="23">
        <v>3570647</v>
      </c>
      <c r="AT22" s="23">
        <v>3484740</v>
      </c>
      <c r="AU22" s="23">
        <v>3169473</v>
      </c>
      <c r="AV22" s="23">
        <v>3049950</v>
      </c>
      <c r="AW22" s="23">
        <v>3043855</v>
      </c>
      <c r="AX22" s="23">
        <v>3165722</v>
      </c>
      <c r="AY22" s="23">
        <v>2749920</v>
      </c>
    </row>
    <row r="23" spans="1:51">
      <c r="A23" s="14"/>
      <c r="B23" s="3" t="s">
        <v>21</v>
      </c>
      <c r="C23" s="3" t="s">
        <v>9</v>
      </c>
      <c r="D23" s="4">
        <v>3942160</v>
      </c>
      <c r="E23" s="4">
        <v>4765732</v>
      </c>
      <c r="F23" s="4">
        <v>5054037</v>
      </c>
      <c r="G23" s="4">
        <v>5271443</v>
      </c>
      <c r="H23" s="4">
        <v>5348934</v>
      </c>
      <c r="I23" s="4">
        <v>6803502</v>
      </c>
      <c r="J23" s="4">
        <v>7516578</v>
      </c>
      <c r="K23" s="4">
        <f>1292543+6804953</f>
        <v>8097496</v>
      </c>
      <c r="L23" s="4">
        <f>1307219+7822230</f>
        <v>9129449</v>
      </c>
      <c r="M23" s="4">
        <f>1359057+7359268</f>
        <v>8718325</v>
      </c>
      <c r="N23" s="4">
        <f>1452461+7616255</f>
        <v>9068716</v>
      </c>
      <c r="O23" s="4">
        <f>1490752+7792684</f>
        <v>9283436</v>
      </c>
      <c r="P23" s="4">
        <f>1523809+7513702</f>
        <v>9037511</v>
      </c>
      <c r="Q23" s="4">
        <f>1609663+7683333</f>
        <v>9292996</v>
      </c>
      <c r="R23" s="4">
        <f>1666379+7693146</f>
        <v>9359525</v>
      </c>
      <c r="S23" s="4">
        <f>1741757+8631215</f>
        <v>10372972</v>
      </c>
      <c r="T23" s="4">
        <f>1803718+9291651</f>
        <v>11095369</v>
      </c>
      <c r="U23" s="4">
        <f>1835627+9582945</f>
        <v>11418572</v>
      </c>
      <c r="V23" s="4">
        <f>1836649+9670228</f>
        <v>11506877</v>
      </c>
      <c r="W23" s="4">
        <f>1922236+8754328</f>
        <v>10676564</v>
      </c>
      <c r="X23" s="4">
        <f>1921156+8594217</f>
        <v>10515373</v>
      </c>
      <c r="Y23" s="4">
        <f>1962263+9384478</f>
        <v>11346741</v>
      </c>
      <c r="Z23" s="4">
        <f>1952705+10968906</f>
        <v>12921611</v>
      </c>
      <c r="AA23" s="4">
        <f>1939959+11985258</f>
        <v>13925217</v>
      </c>
      <c r="AB23" s="4">
        <f>2025946+13523620</f>
        <v>15549566</v>
      </c>
      <c r="AC23" s="4">
        <f>2003974+11967355</f>
        <v>13971329</v>
      </c>
      <c r="AD23" s="4">
        <v>13030665</v>
      </c>
      <c r="AE23" s="4">
        <v>13821427</v>
      </c>
      <c r="AF23" s="4">
        <v>13759876</v>
      </c>
      <c r="AG23" s="4">
        <v>11360601</v>
      </c>
      <c r="AH23" s="4">
        <v>8524451</v>
      </c>
      <c r="AI23" s="4">
        <v>7827887</v>
      </c>
      <c r="AJ23" s="4">
        <v>6822440</v>
      </c>
      <c r="AK23" s="4">
        <v>6380163</v>
      </c>
      <c r="AL23" s="4">
        <v>5494394</v>
      </c>
      <c r="AM23" s="4">
        <v>4885899</v>
      </c>
      <c r="AN23" s="4">
        <v>4457836</v>
      </c>
      <c r="AO23" s="4">
        <v>3798342</v>
      </c>
      <c r="AP23" s="4">
        <v>3639533</v>
      </c>
      <c r="AQ23" s="4">
        <v>3856605</v>
      </c>
      <c r="AR23" s="4">
        <v>3743193</v>
      </c>
      <c r="AS23" s="4">
        <v>3165511</v>
      </c>
      <c r="AT23" s="4">
        <v>2687438</v>
      </c>
      <c r="AU23" s="4">
        <v>2468241</v>
      </c>
      <c r="AV23" s="4">
        <v>2372260</v>
      </c>
      <c r="AW23" s="4">
        <v>2218528</v>
      </c>
      <c r="AX23" s="4">
        <v>2099474</v>
      </c>
      <c r="AY23" s="4">
        <v>2125437</v>
      </c>
    </row>
    <row r="24" spans="1:51">
      <c r="A24" s="14"/>
      <c r="C24" s="3" t="s">
        <v>11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AG24" s="4">
        <v>3073447</v>
      </c>
      <c r="AH24" s="4">
        <v>4623423</v>
      </c>
      <c r="AI24" s="4">
        <v>6040396</v>
      </c>
      <c r="AJ24" s="4">
        <v>7431300</v>
      </c>
      <c r="AK24" s="4">
        <v>8324247</v>
      </c>
      <c r="AL24" s="4">
        <v>8685115</v>
      </c>
      <c r="AM24" s="4">
        <v>8750972</v>
      </c>
      <c r="AN24" s="4">
        <v>8818301</v>
      </c>
      <c r="AO24" s="4">
        <v>9274633</v>
      </c>
      <c r="AP24" s="4">
        <v>9925765</v>
      </c>
      <c r="AQ24" s="4">
        <v>11040738</v>
      </c>
      <c r="AR24" s="4">
        <v>11949686</v>
      </c>
      <c r="AS24" s="4">
        <v>12638424</v>
      </c>
      <c r="AT24" s="4">
        <v>12257787</v>
      </c>
      <c r="AU24" s="4">
        <v>12859536</v>
      </c>
      <c r="AV24" s="4">
        <v>13018960</v>
      </c>
      <c r="AW24" s="4">
        <v>13007213</v>
      </c>
      <c r="AX24" s="4">
        <v>13121822</v>
      </c>
      <c r="AY24" s="4">
        <v>13833619</v>
      </c>
    </row>
    <row r="25" spans="1:51">
      <c r="A25" s="14"/>
      <c r="C25" s="3" t="s">
        <v>23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AM25" s="4">
        <v>241538</v>
      </c>
      <c r="AN25" s="4">
        <v>215182</v>
      </c>
      <c r="AO25" s="4">
        <v>293906</v>
      </c>
      <c r="AP25" s="4">
        <v>343908</v>
      </c>
      <c r="AQ25" s="4">
        <v>357301</v>
      </c>
      <c r="AR25" s="4">
        <v>393204</v>
      </c>
      <c r="AS25" s="4">
        <v>346124</v>
      </c>
      <c r="AT25" s="4">
        <v>372750</v>
      </c>
      <c r="AU25" s="4">
        <v>372583</v>
      </c>
      <c r="AV25" s="4">
        <v>457141</v>
      </c>
      <c r="AW25" s="4">
        <v>755656</v>
      </c>
      <c r="AX25" s="4">
        <v>822145</v>
      </c>
      <c r="AY25" s="4">
        <v>597787</v>
      </c>
    </row>
    <row r="26" spans="1:51">
      <c r="A26" s="14"/>
      <c r="C26" s="3" t="s">
        <v>24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AM26" s="4">
        <v>1412497</v>
      </c>
      <c r="AN26" s="4">
        <v>1503086</v>
      </c>
      <c r="AO26" s="4">
        <v>1523442</v>
      </c>
      <c r="AP26" s="4">
        <v>1698621</v>
      </c>
      <c r="AQ26" s="4">
        <v>1851840</v>
      </c>
      <c r="AR26" s="4">
        <v>2020897</v>
      </c>
      <c r="AS26" s="4">
        <v>2025005</v>
      </c>
      <c r="AT26" s="4">
        <v>2076015</v>
      </c>
      <c r="AU26" s="4">
        <v>2062314</v>
      </c>
      <c r="AV26" s="4">
        <v>2151031</v>
      </c>
      <c r="AW26" s="4">
        <v>2260102</v>
      </c>
      <c r="AX26" s="4">
        <v>2365144</v>
      </c>
      <c r="AY26" s="4">
        <v>2447861</v>
      </c>
    </row>
    <row r="27" spans="1:51">
      <c r="A27" s="14"/>
      <c r="C27" s="3" t="s">
        <v>10</v>
      </c>
      <c r="D27" s="4">
        <v>298892</v>
      </c>
      <c r="E27" s="4">
        <v>339000</v>
      </c>
      <c r="F27" s="4">
        <v>437414</v>
      </c>
      <c r="G27" s="4">
        <v>668880</v>
      </c>
      <c r="H27" s="4">
        <v>708675</v>
      </c>
      <c r="I27" s="4">
        <v>759103</v>
      </c>
      <c r="J27" s="4">
        <v>854926</v>
      </c>
      <c r="K27" s="4">
        <v>932177</v>
      </c>
      <c r="L27" s="4">
        <v>872191</v>
      </c>
      <c r="M27" s="4">
        <v>955938</v>
      </c>
      <c r="N27" s="4">
        <v>900013</v>
      </c>
      <c r="O27" s="4">
        <v>962580</v>
      </c>
      <c r="P27" s="4">
        <v>1085970</v>
      </c>
      <c r="Q27" s="4">
        <v>975232</v>
      </c>
      <c r="R27" s="4">
        <v>1056071</v>
      </c>
      <c r="S27" s="4">
        <v>1058108</v>
      </c>
      <c r="T27" s="4">
        <v>1151168</v>
      </c>
      <c r="U27" s="4">
        <v>1302821</v>
      </c>
      <c r="V27" s="4">
        <v>1313607</v>
      </c>
      <c r="W27" s="4">
        <v>1467352</v>
      </c>
      <c r="X27" s="4">
        <v>1617031</v>
      </c>
      <c r="Y27" s="4">
        <v>1581454</v>
      </c>
      <c r="Z27" s="4">
        <v>1682545</v>
      </c>
      <c r="AA27" s="4">
        <v>1619025</v>
      </c>
      <c r="AB27" s="4">
        <v>1925240</v>
      </c>
      <c r="AC27" s="4">
        <v>1871321</v>
      </c>
      <c r="AD27" s="4">
        <v>1963803</v>
      </c>
      <c r="AE27" s="4">
        <v>2035363</v>
      </c>
      <c r="AF27" s="4">
        <v>2835113</v>
      </c>
      <c r="AG27" s="4">
        <v>1390609</v>
      </c>
      <c r="AH27" s="4">
        <v>1574966</v>
      </c>
      <c r="AI27" s="4">
        <v>1425202</v>
      </c>
      <c r="AJ27" s="4">
        <v>1549143</v>
      </c>
      <c r="AK27" s="4">
        <v>1628289</v>
      </c>
      <c r="AL27" s="4">
        <v>1977835</v>
      </c>
      <c r="AM27" s="4">
        <v>516824</v>
      </c>
      <c r="AN27" s="4">
        <v>499373</v>
      </c>
      <c r="AO27" s="4">
        <v>492182</v>
      </c>
      <c r="AP27" s="4">
        <v>359011</v>
      </c>
      <c r="AQ27" s="4">
        <v>363837</v>
      </c>
      <c r="AR27" s="4">
        <v>324524</v>
      </c>
      <c r="AS27" s="4">
        <v>281841</v>
      </c>
      <c r="AT27" s="4">
        <v>1064175</v>
      </c>
      <c r="AU27" s="4">
        <v>312602</v>
      </c>
      <c r="AV27" s="4">
        <v>295446</v>
      </c>
      <c r="AW27" s="4">
        <v>288186</v>
      </c>
      <c r="AX27" s="4">
        <v>313916</v>
      </c>
      <c r="AY27" s="4">
        <v>276469</v>
      </c>
    </row>
    <row r="28" spans="1:51">
      <c r="A28" s="14"/>
      <c r="C28" s="3" t="s">
        <v>17</v>
      </c>
      <c r="D28" s="4">
        <v>10016344</v>
      </c>
      <c r="E28" s="4">
        <v>11486330</v>
      </c>
      <c r="F28" s="4">
        <v>12373335</v>
      </c>
      <c r="G28" s="4">
        <v>13996084</v>
      </c>
      <c r="H28" s="4">
        <v>15315079</v>
      </c>
      <c r="I28" s="4">
        <v>17550820</v>
      </c>
      <c r="J28" s="4">
        <v>19011050</v>
      </c>
      <c r="K28" s="4">
        <v>19280932</v>
      </c>
      <c r="L28" s="4">
        <v>19739459</v>
      </c>
      <c r="M28" s="4">
        <v>19696597</v>
      </c>
      <c r="N28" s="4">
        <v>19401673</v>
      </c>
      <c r="O28" s="4">
        <v>19526536</v>
      </c>
      <c r="P28" s="4">
        <v>21911066</v>
      </c>
      <c r="Q28" s="4">
        <v>19944383</v>
      </c>
      <c r="R28" s="4">
        <v>20329151</v>
      </c>
      <c r="S28" s="4">
        <v>21237353</v>
      </c>
      <c r="T28" s="4">
        <v>21485286</v>
      </c>
      <c r="U28" s="4">
        <v>21913987</v>
      </c>
      <c r="V28" s="4">
        <v>21721371</v>
      </c>
      <c r="W28" s="4">
        <v>20877820</v>
      </c>
      <c r="X28" s="4">
        <v>21077008</v>
      </c>
      <c r="Y28" s="4">
        <v>21960448</v>
      </c>
      <c r="Z28" s="4">
        <v>23971993</v>
      </c>
      <c r="AA28" s="4">
        <v>24349736</v>
      </c>
      <c r="AB28" s="4">
        <v>26006740</v>
      </c>
      <c r="AC28" s="4">
        <v>24048985</v>
      </c>
      <c r="AD28" s="4">
        <v>23031580</v>
      </c>
      <c r="AE28" s="4">
        <v>23379272</v>
      </c>
      <c r="AF28" s="4">
        <v>23725862</v>
      </c>
      <c r="AG28" s="4">
        <v>21936966</v>
      </c>
      <c r="AH28" s="4">
        <v>21157784</v>
      </c>
      <c r="AI28" s="4">
        <v>21167394</v>
      </c>
      <c r="AJ28" s="4">
        <v>21727867</v>
      </c>
      <c r="AK28" s="4">
        <v>22134060</v>
      </c>
      <c r="AL28" s="4">
        <v>22792901</v>
      </c>
      <c r="AM28" s="4">
        <v>21230345</v>
      </c>
      <c r="AN28" s="4">
        <v>20773433</v>
      </c>
      <c r="AO28" s="4">
        <v>20446959</v>
      </c>
      <c r="AP28" s="4">
        <v>20844007</v>
      </c>
      <c r="AQ28" s="4">
        <v>21932096</v>
      </c>
      <c r="AR28" s="4">
        <v>22589418</v>
      </c>
      <c r="AS28" s="4">
        <v>22027552</v>
      </c>
      <c r="AT28" s="9">
        <f t="shared" ref="AT28:AY28" si="14">SUM(AT22:AT27)</f>
        <v>21942905</v>
      </c>
      <c r="AU28" s="9">
        <f t="shared" si="14"/>
        <v>21244749</v>
      </c>
      <c r="AV28" s="9">
        <f t="shared" si="14"/>
        <v>21344788</v>
      </c>
      <c r="AW28" s="9">
        <f t="shared" si="14"/>
        <v>21573540</v>
      </c>
      <c r="AX28" s="9">
        <f t="shared" si="14"/>
        <v>21888223</v>
      </c>
      <c r="AY28" s="9">
        <f t="shared" si="14"/>
        <v>22031093</v>
      </c>
    </row>
    <row r="29" spans="1:51">
      <c r="A29" s="14"/>
      <c r="C29" s="10" t="s">
        <v>12</v>
      </c>
      <c r="D29" s="8">
        <f t="shared" ref="D29:AQ29" si="15">D28/D308*100</f>
        <v>1.9887035353074085</v>
      </c>
      <c r="E29" s="8">
        <f t="shared" ref="E29" si="16">E28/E308*100</f>
        <v>2.0150077450841084</v>
      </c>
      <c r="F29" s="8">
        <f t="shared" si="15"/>
        <v>1.9367713629191814</v>
      </c>
      <c r="G29" s="8">
        <f t="shared" si="15"/>
        <v>1.8352752043954028</v>
      </c>
      <c r="H29" s="8">
        <f t="shared" si="15"/>
        <v>1.694212470513623</v>
      </c>
      <c r="I29" s="8">
        <f t="shared" si="15"/>
        <v>1.7938752959390545</v>
      </c>
      <c r="J29" s="8">
        <f t="shared" si="15"/>
        <v>1.8346586803878431</v>
      </c>
      <c r="K29" s="8">
        <f t="shared" si="15"/>
        <v>1.7891603175161384</v>
      </c>
      <c r="L29" s="8">
        <f t="shared" si="15"/>
        <v>1.7779250111365872</v>
      </c>
      <c r="M29" s="8">
        <f t="shared" si="15"/>
        <v>1.6190319772089949</v>
      </c>
      <c r="N29" s="8">
        <f t="shared" si="15"/>
        <v>1.5385022326674733</v>
      </c>
      <c r="O29" s="8">
        <f t="shared" si="15"/>
        <v>1.5074379269622462</v>
      </c>
      <c r="P29" s="8">
        <f t="shared" si="15"/>
        <v>1.5092805059148673</v>
      </c>
      <c r="Q29" s="8">
        <f t="shared" si="15"/>
        <v>1.4077478379594066</v>
      </c>
      <c r="R29" s="8">
        <f t="shared" si="15"/>
        <v>1.384236209884957</v>
      </c>
      <c r="S29" s="8">
        <f t="shared" si="15"/>
        <v>1.4038629773475286</v>
      </c>
      <c r="T29" s="8">
        <f t="shared" si="15"/>
        <v>1.3419596545428472</v>
      </c>
      <c r="U29" s="8">
        <f t="shared" si="15"/>
        <v>1.2917425612537212</v>
      </c>
      <c r="V29" s="8">
        <f t="shared" si="15"/>
        <v>1.1427078760291471</v>
      </c>
      <c r="W29" s="8">
        <f t="shared" si="15"/>
        <v>1.165056348167115</v>
      </c>
      <c r="X29" s="8">
        <f t="shared" si="15"/>
        <v>1.102033933174754</v>
      </c>
      <c r="Y29" s="8">
        <f t="shared" si="15"/>
        <v>1.1485102646214813</v>
      </c>
      <c r="Z29" s="8">
        <f t="shared" si="15"/>
        <v>1.2477296156266768</v>
      </c>
      <c r="AA29" s="8">
        <f t="shared" si="15"/>
        <v>1.1797819898843891</v>
      </c>
      <c r="AB29" s="8">
        <f t="shared" si="15"/>
        <v>1.2704048900241545</v>
      </c>
      <c r="AC29" s="8">
        <f t="shared" si="15"/>
        <v>1.1805405372884608</v>
      </c>
      <c r="AD29" s="8">
        <f t="shared" si="15"/>
        <v>1.1491297867158312</v>
      </c>
      <c r="AE29" s="8">
        <f t="shared" si="15"/>
        <v>1.1414308391141172</v>
      </c>
      <c r="AF29" s="8">
        <f t="shared" si="15"/>
        <v>1.146752288680466</v>
      </c>
      <c r="AG29" s="8">
        <f t="shared" si="15"/>
        <v>1.0226785260892193</v>
      </c>
      <c r="AH29" s="8">
        <f t="shared" si="15"/>
        <v>0.84721192492645625</v>
      </c>
      <c r="AI29" s="8">
        <f t="shared" si="15"/>
        <v>0.93968900551290502</v>
      </c>
      <c r="AJ29" s="8">
        <f t="shared" si="15"/>
        <v>0.94268441380957413</v>
      </c>
      <c r="AK29" s="8">
        <f t="shared" si="15"/>
        <v>0.92508622025536025</v>
      </c>
      <c r="AL29" s="8">
        <f t="shared" si="15"/>
        <v>0.88845004133423311</v>
      </c>
      <c r="AM29" s="8">
        <f t="shared" si="15"/>
        <v>0.87890895001271252</v>
      </c>
      <c r="AN29" s="8">
        <f t="shared" si="15"/>
        <v>0.81947733979718795</v>
      </c>
      <c r="AO29" s="8">
        <f t="shared" si="15"/>
        <v>0.83292016317824713</v>
      </c>
      <c r="AP29" s="8">
        <f t="shared" si="15"/>
        <v>0.79912979165513254</v>
      </c>
      <c r="AQ29" s="8">
        <f t="shared" si="15"/>
        <v>0.80039715641082843</v>
      </c>
      <c r="AR29" s="8">
        <f t="shared" ref="AR29:AW29" si="17">AR28/AR308*100</f>
        <v>0.84353153983195395</v>
      </c>
      <c r="AS29" s="8">
        <f t="shared" si="17"/>
        <v>0.82971169100073505</v>
      </c>
      <c r="AT29" s="40">
        <f t="shared" si="17"/>
        <v>0.81531017695937202</v>
      </c>
      <c r="AU29" s="40">
        <f t="shared" ref="AU29:AV29" si="18">AU28/AU308*100</f>
        <v>0.78210331132288347</v>
      </c>
      <c r="AV29" s="40">
        <f t="shared" si="18"/>
        <v>0.77079559190807068</v>
      </c>
      <c r="AW29" s="40">
        <f t="shared" si="17"/>
        <v>0.77689720915870031</v>
      </c>
      <c r="AX29" s="40">
        <f t="shared" ref="AX29:AY29" si="19">AX28/AX308*100</f>
        <v>0.74965362582795458</v>
      </c>
      <c r="AY29" s="40">
        <f t="shared" si="19"/>
        <v>0.74419938105701056</v>
      </c>
    </row>
    <row r="30" spans="1:51">
      <c r="A30" s="14"/>
      <c r="C30" s="10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4"/>
      <c r="AR30" s="4"/>
      <c r="AS30" s="4"/>
      <c r="AT30" s="4"/>
      <c r="AU30" s="4"/>
      <c r="AV30" s="4"/>
      <c r="AW30" s="4"/>
      <c r="AX30" s="4"/>
      <c r="AY30" s="4"/>
    </row>
    <row r="31" spans="1:51" s="2" customFormat="1">
      <c r="A31" s="15"/>
      <c r="C31" s="3"/>
      <c r="D31" s="1">
        <f t="shared" ref="D31:O31" si="20">D2</f>
        <v>1975</v>
      </c>
      <c r="E31" s="1">
        <f t="shared" ref="E31" si="21">E2</f>
        <v>76</v>
      </c>
      <c r="F31" s="1">
        <f t="shared" si="20"/>
        <v>77</v>
      </c>
      <c r="G31" s="1">
        <f t="shared" si="20"/>
        <v>78</v>
      </c>
      <c r="H31" s="1">
        <f t="shared" si="20"/>
        <v>79</v>
      </c>
      <c r="I31" s="1">
        <f t="shared" si="20"/>
        <v>80</v>
      </c>
      <c r="J31" s="1">
        <f t="shared" si="20"/>
        <v>81</v>
      </c>
      <c r="K31" s="1">
        <f t="shared" si="20"/>
        <v>82</v>
      </c>
      <c r="L31" s="1">
        <f t="shared" si="20"/>
        <v>83</v>
      </c>
      <c r="M31" s="1">
        <f t="shared" si="20"/>
        <v>84</v>
      </c>
      <c r="N31" s="1">
        <f t="shared" si="20"/>
        <v>85</v>
      </c>
      <c r="O31" s="1">
        <f t="shared" si="20"/>
        <v>86</v>
      </c>
      <c r="P31" s="1">
        <f t="shared" ref="P31:AQ31" si="22">P2</f>
        <v>87</v>
      </c>
      <c r="Q31" s="1">
        <f t="shared" si="22"/>
        <v>88</v>
      </c>
      <c r="R31" s="1">
        <f t="shared" si="22"/>
        <v>89</v>
      </c>
      <c r="S31" s="1" t="str">
        <f t="shared" si="22"/>
        <v>90</v>
      </c>
      <c r="T31" s="1" t="str">
        <f t="shared" si="22"/>
        <v>91</v>
      </c>
      <c r="U31" s="1" t="str">
        <f t="shared" si="22"/>
        <v>92</v>
      </c>
      <c r="V31" s="1" t="str">
        <f t="shared" si="22"/>
        <v>93</v>
      </c>
      <c r="W31" s="1" t="str">
        <f t="shared" si="22"/>
        <v>94</v>
      </c>
      <c r="X31" s="1" t="str">
        <f t="shared" si="22"/>
        <v>95</v>
      </c>
      <c r="Y31" s="1" t="str">
        <f t="shared" si="22"/>
        <v>96</v>
      </c>
      <c r="Z31" s="1" t="str">
        <f t="shared" si="22"/>
        <v>97</v>
      </c>
      <c r="AA31" s="1" t="str">
        <f t="shared" si="22"/>
        <v>98</v>
      </c>
      <c r="AB31" s="1" t="str">
        <f t="shared" si="22"/>
        <v>99</v>
      </c>
      <c r="AC31" s="1" t="str">
        <f t="shared" si="22"/>
        <v>2000</v>
      </c>
      <c r="AD31" s="1" t="str">
        <f t="shared" si="22"/>
        <v>01</v>
      </c>
      <c r="AE31" s="1" t="str">
        <f t="shared" si="22"/>
        <v>02</v>
      </c>
      <c r="AF31" s="1" t="str">
        <f t="shared" si="22"/>
        <v>03</v>
      </c>
      <c r="AG31" s="1" t="str">
        <f t="shared" si="22"/>
        <v>04</v>
      </c>
      <c r="AH31" s="1" t="str">
        <f t="shared" si="22"/>
        <v>05</v>
      </c>
      <c r="AI31" s="1" t="str">
        <f t="shared" si="22"/>
        <v>06</v>
      </c>
      <c r="AJ31" s="1" t="str">
        <f t="shared" si="22"/>
        <v>07</v>
      </c>
      <c r="AK31" s="1" t="str">
        <f t="shared" si="22"/>
        <v>08</v>
      </c>
      <c r="AL31" s="1" t="str">
        <f t="shared" si="22"/>
        <v>09</v>
      </c>
      <c r="AM31" s="1" t="str">
        <f t="shared" si="22"/>
        <v>10</v>
      </c>
      <c r="AN31" s="1" t="str">
        <f t="shared" si="22"/>
        <v>11</v>
      </c>
      <c r="AO31" s="1" t="str">
        <f t="shared" si="22"/>
        <v>12</v>
      </c>
      <c r="AP31" s="1" t="str">
        <f t="shared" si="22"/>
        <v>13</v>
      </c>
      <c r="AQ31" s="1" t="str">
        <f t="shared" si="22"/>
        <v>14</v>
      </c>
      <c r="AR31" s="1" t="str">
        <f t="shared" ref="AR31:AS31" si="23">AR2</f>
        <v>15</v>
      </c>
      <c r="AS31" s="1" t="str">
        <f t="shared" si="23"/>
        <v>16</v>
      </c>
      <c r="AT31" s="1" t="str">
        <f t="shared" ref="AT31" si="24">AT2</f>
        <v>17</v>
      </c>
      <c r="AU31" s="1">
        <v>18</v>
      </c>
      <c r="AV31" s="1">
        <v>19</v>
      </c>
      <c r="AW31" s="1">
        <v>20</v>
      </c>
      <c r="AX31" s="1">
        <v>21</v>
      </c>
      <c r="AY31" s="1">
        <v>22</v>
      </c>
    </row>
    <row r="32" spans="1:51">
      <c r="A32" s="14" t="s">
        <v>0</v>
      </c>
      <c r="B32" s="3" t="s">
        <v>20</v>
      </c>
      <c r="C32" s="3" t="s">
        <v>8</v>
      </c>
      <c r="D32" s="6">
        <v>68592</v>
      </c>
      <c r="E32" s="6">
        <v>76887</v>
      </c>
      <c r="F32" s="6">
        <v>79102</v>
      </c>
      <c r="G32" s="6">
        <v>92595</v>
      </c>
      <c r="H32" s="6">
        <v>100625</v>
      </c>
      <c r="I32" s="6">
        <v>107400</v>
      </c>
      <c r="J32" s="6">
        <v>114404</v>
      </c>
      <c r="K32" s="6">
        <v>110229</v>
      </c>
      <c r="L32" s="6">
        <f>47594+57113</f>
        <v>104707</v>
      </c>
      <c r="M32" s="6">
        <f>49372+56126</f>
        <v>105498</v>
      </c>
      <c r="N32" s="6">
        <f>47288+52006</f>
        <v>99294</v>
      </c>
      <c r="O32" s="6">
        <f>47242+50448</f>
        <v>97690</v>
      </c>
      <c r="P32" s="6">
        <f>50186+73894</f>
        <v>124080</v>
      </c>
      <c r="Q32" s="6">
        <f>50493+51361</f>
        <v>101854</v>
      </c>
      <c r="R32" s="6">
        <f>51878+51389</f>
        <v>103267</v>
      </c>
      <c r="S32" s="6">
        <f>49672+51424</f>
        <v>101096</v>
      </c>
      <c r="T32" s="6">
        <f>46850+47423</f>
        <v>94273</v>
      </c>
      <c r="U32" s="6">
        <f>47316+46486</f>
        <v>93802</v>
      </c>
      <c r="V32" s="6">
        <f>46161+44664</f>
        <v>90825</v>
      </c>
      <c r="W32" s="6">
        <f>46567+42554</f>
        <v>89121</v>
      </c>
      <c r="X32" s="6">
        <f>49502+41770</f>
        <v>91272</v>
      </c>
      <c r="Y32" s="6">
        <f>49293+42872</f>
        <v>92165</v>
      </c>
      <c r="Z32" s="6">
        <f>49915+44710</f>
        <v>94625</v>
      </c>
      <c r="AA32" s="6">
        <f>46186+42758</f>
        <v>88944</v>
      </c>
      <c r="AB32" s="6">
        <f>47007+39175</f>
        <v>86182</v>
      </c>
      <c r="AC32" s="4">
        <f>47040+35853</f>
        <v>82893</v>
      </c>
      <c r="AD32" s="6">
        <v>81183</v>
      </c>
      <c r="AE32" s="6">
        <v>77551</v>
      </c>
      <c r="AF32" s="6">
        <v>81964</v>
      </c>
      <c r="AG32" s="6">
        <v>70256</v>
      </c>
      <c r="AH32" s="6">
        <v>73965</v>
      </c>
      <c r="AI32" s="6">
        <v>67516</v>
      </c>
      <c r="AJ32" s="6">
        <v>68895</v>
      </c>
      <c r="AK32" s="6">
        <v>67458</v>
      </c>
      <c r="AL32" s="6">
        <v>77158</v>
      </c>
      <c r="AM32" s="6">
        <v>63054</v>
      </c>
      <c r="AN32" s="6">
        <v>61391</v>
      </c>
      <c r="AO32" s="6">
        <v>58889</v>
      </c>
      <c r="AP32" s="6">
        <v>56712</v>
      </c>
      <c r="AQ32" s="4">
        <v>51881</v>
      </c>
      <c r="AR32" s="4">
        <v>48348</v>
      </c>
      <c r="AS32" s="4">
        <v>41519</v>
      </c>
      <c r="AT32" s="9">
        <f t="shared" ref="AT32:AY32" si="25">ROUND(AT22/AT$343,0)</f>
        <v>40520</v>
      </c>
      <c r="AU32" s="9">
        <f t="shared" si="25"/>
        <v>36854</v>
      </c>
      <c r="AV32" s="9">
        <f t="shared" si="25"/>
        <v>35465</v>
      </c>
      <c r="AW32" s="9">
        <f t="shared" si="25"/>
        <v>35394</v>
      </c>
      <c r="AX32" s="9">
        <f t="shared" si="25"/>
        <v>36811</v>
      </c>
      <c r="AY32" s="9">
        <f t="shared" si="25"/>
        <v>31976</v>
      </c>
    </row>
    <row r="33" spans="1:51">
      <c r="A33" s="14"/>
      <c r="B33" s="3" t="s">
        <v>21</v>
      </c>
      <c r="C33" s="3" t="s">
        <v>9</v>
      </c>
      <c r="D33" s="6">
        <v>47496</v>
      </c>
      <c r="E33" s="6">
        <v>57418</v>
      </c>
      <c r="F33" s="6">
        <v>58092</v>
      </c>
      <c r="G33" s="6">
        <v>60591</v>
      </c>
      <c r="H33" s="6">
        <v>58141</v>
      </c>
      <c r="I33" s="6">
        <v>73156</v>
      </c>
      <c r="J33" s="6">
        <v>80823</v>
      </c>
      <c r="K33" s="6">
        <f>13898+73172</f>
        <v>87070</v>
      </c>
      <c r="L33" s="6">
        <f>14056+84110</f>
        <v>98166</v>
      </c>
      <c r="M33" s="6">
        <f>14306+77466</f>
        <v>91772</v>
      </c>
      <c r="N33" s="6">
        <f>15289+80171</f>
        <v>95460</v>
      </c>
      <c r="O33" s="6">
        <f>15692+82028</f>
        <v>97720</v>
      </c>
      <c r="P33" s="6">
        <f>16040+79092</f>
        <v>95132</v>
      </c>
      <c r="Q33" s="6">
        <f>16944+80877</f>
        <v>97821</v>
      </c>
      <c r="R33" s="6">
        <f>17358+80137</f>
        <v>97495</v>
      </c>
      <c r="S33" s="6">
        <f>17956+88982</f>
        <v>106938</v>
      </c>
      <c r="T33" s="6">
        <f>18405+94813</f>
        <v>113218</v>
      </c>
      <c r="U33" s="6">
        <f>18731+97785</f>
        <v>116516</v>
      </c>
      <c r="V33" s="6">
        <f>18741+98676</f>
        <v>117417</v>
      </c>
      <c r="W33" s="6">
        <f>19615+89330</f>
        <v>108945</v>
      </c>
      <c r="X33" s="6">
        <f>19604+87696</f>
        <v>107300</v>
      </c>
      <c r="Y33" s="6">
        <f>20023+95760</f>
        <v>115783</v>
      </c>
      <c r="Z33" s="6">
        <f>19724+110797</f>
        <v>130521</v>
      </c>
      <c r="AA33" s="6">
        <f>19596+121063</f>
        <v>140659</v>
      </c>
      <c r="AB33" s="6">
        <f>20464+136602</f>
        <v>157066</v>
      </c>
      <c r="AC33" s="6">
        <f>20242+120882</f>
        <v>141124</v>
      </c>
      <c r="AD33" s="6">
        <v>131623</v>
      </c>
      <c r="AE33" s="6">
        <v>142489</v>
      </c>
      <c r="AF33" s="6">
        <v>158159</v>
      </c>
      <c r="AG33" s="6">
        <v>130582</v>
      </c>
      <c r="AH33" s="6">
        <v>97982</v>
      </c>
      <c r="AI33" s="6">
        <v>89976</v>
      </c>
      <c r="AJ33" s="6">
        <v>79331</v>
      </c>
      <c r="AK33" s="6">
        <v>74188</v>
      </c>
      <c r="AL33" s="6">
        <v>63888</v>
      </c>
      <c r="AM33" s="6">
        <v>56813</v>
      </c>
      <c r="AN33" s="6">
        <v>51835</v>
      </c>
      <c r="AO33" s="6">
        <v>44167</v>
      </c>
      <c r="AP33" s="6">
        <v>42320</v>
      </c>
      <c r="AQ33" s="4">
        <v>44844</v>
      </c>
      <c r="AR33" s="4">
        <v>43526</v>
      </c>
      <c r="AS33" s="4">
        <v>36808</v>
      </c>
      <c r="AT33" s="9">
        <f t="shared" ref="AT33" si="26">ROUND(AT23/AT$343,0)</f>
        <v>31249</v>
      </c>
      <c r="AU33" s="9">
        <f t="shared" ref="AU33:AV33" si="27">ROUND(AU23/AU$343,0)</f>
        <v>28700</v>
      </c>
      <c r="AV33" s="9">
        <f t="shared" si="27"/>
        <v>27584</v>
      </c>
      <c r="AW33" s="9">
        <f t="shared" ref="AW33:AX37" si="28">ROUND(AW23/AW$343,0)</f>
        <v>25797</v>
      </c>
      <c r="AX33" s="9">
        <f t="shared" si="28"/>
        <v>24412</v>
      </c>
      <c r="AY33" s="9">
        <f t="shared" ref="AY33" si="29">ROUND(AY23/AY$343,0)</f>
        <v>24714</v>
      </c>
    </row>
    <row r="34" spans="1:51">
      <c r="A34" s="14"/>
      <c r="C34" s="3" t="s">
        <v>11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AG34" s="6">
        <v>35327</v>
      </c>
      <c r="AH34" s="6">
        <v>53143</v>
      </c>
      <c r="AI34" s="6">
        <v>69430</v>
      </c>
      <c r="AJ34" s="6">
        <v>86410</v>
      </c>
      <c r="AK34" s="6">
        <v>96794</v>
      </c>
      <c r="AL34" s="6">
        <v>100990</v>
      </c>
      <c r="AM34" s="6">
        <v>101755</v>
      </c>
      <c r="AN34" s="6">
        <v>102538</v>
      </c>
      <c r="AO34" s="6">
        <v>107845</v>
      </c>
      <c r="AP34" s="6">
        <v>115416</v>
      </c>
      <c r="AQ34" s="4">
        <v>128381</v>
      </c>
      <c r="AR34" s="4">
        <v>138950</v>
      </c>
      <c r="AS34" s="4">
        <v>146958</v>
      </c>
      <c r="AT34" s="9">
        <f t="shared" ref="AT34" si="30">ROUND(AT24/AT$343,0)</f>
        <v>142532</v>
      </c>
      <c r="AU34" s="9">
        <f t="shared" ref="AU34:AV34" si="31">ROUND(AU24/AU$343,0)</f>
        <v>149529</v>
      </c>
      <c r="AV34" s="9">
        <f t="shared" si="31"/>
        <v>151383</v>
      </c>
      <c r="AW34" s="9">
        <f t="shared" si="28"/>
        <v>151247</v>
      </c>
      <c r="AX34" s="9">
        <f t="shared" si="28"/>
        <v>152579</v>
      </c>
      <c r="AY34" s="9">
        <f t="shared" ref="AY34" si="32">ROUND(AY24/AY$343,0)</f>
        <v>160856</v>
      </c>
    </row>
    <row r="35" spans="1:51">
      <c r="A35" s="14"/>
      <c r="C35" s="3" t="s">
        <v>26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AG35" s="6"/>
      <c r="AH35" s="6"/>
      <c r="AI35" s="6"/>
      <c r="AJ35" s="6"/>
      <c r="AK35" s="6"/>
      <c r="AL35" s="6"/>
      <c r="AM35" s="6">
        <v>2809</v>
      </c>
      <c r="AN35" s="6">
        <v>2502</v>
      </c>
      <c r="AO35" s="6">
        <v>3418</v>
      </c>
      <c r="AP35" s="6">
        <v>3999</v>
      </c>
      <c r="AQ35" s="4">
        <v>4155</v>
      </c>
      <c r="AR35" s="4">
        <v>4572</v>
      </c>
      <c r="AS35" s="4">
        <v>4025</v>
      </c>
      <c r="AT35" s="9">
        <f t="shared" ref="AT35" si="33">ROUND(AT25/AT$343,0)</f>
        <v>4334</v>
      </c>
      <c r="AU35" s="9">
        <f t="shared" ref="AU35:AV35" si="34">ROUND(AU25/AU$343,0)</f>
        <v>4332</v>
      </c>
      <c r="AV35" s="9">
        <f t="shared" si="34"/>
        <v>5316</v>
      </c>
      <c r="AW35" s="9">
        <f t="shared" si="28"/>
        <v>8787</v>
      </c>
      <c r="AX35" s="9">
        <f t="shared" si="28"/>
        <v>9560</v>
      </c>
      <c r="AY35" s="9">
        <f t="shared" ref="AY35" si="35">ROUND(AY25/AY$343,0)</f>
        <v>6951</v>
      </c>
    </row>
    <row r="36" spans="1:51">
      <c r="A36" s="14"/>
      <c r="C36" s="3" t="s">
        <v>25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AG36" s="6"/>
      <c r="AH36" s="6"/>
      <c r="AI36" s="6"/>
      <c r="AJ36" s="6"/>
      <c r="AK36" s="6"/>
      <c r="AL36" s="6"/>
      <c r="AM36" s="6">
        <v>16424</v>
      </c>
      <c r="AN36" s="6">
        <v>17478</v>
      </c>
      <c r="AO36" s="6">
        <v>17714</v>
      </c>
      <c r="AP36" s="6">
        <v>19751</v>
      </c>
      <c r="AQ36" s="4">
        <v>21533</v>
      </c>
      <c r="AR36" s="4">
        <v>23499</v>
      </c>
      <c r="AS36" s="4">
        <v>23547</v>
      </c>
      <c r="AT36" s="9">
        <f t="shared" ref="AT36" si="36">ROUND(AT26/AT$343,0)</f>
        <v>24140</v>
      </c>
      <c r="AU36" s="9">
        <f t="shared" ref="AU36:AV36" si="37">ROUND(AU26/AU$343,0)</f>
        <v>23980</v>
      </c>
      <c r="AV36" s="9">
        <f t="shared" si="37"/>
        <v>25012</v>
      </c>
      <c r="AW36" s="9">
        <f t="shared" si="28"/>
        <v>26280</v>
      </c>
      <c r="AX36" s="9">
        <f t="shared" si="28"/>
        <v>27502</v>
      </c>
      <c r="AY36" s="9">
        <f t="shared" ref="AY36" si="38">ROUND(AY26/AY$343,0)</f>
        <v>28464</v>
      </c>
    </row>
    <row r="37" spans="1:51">
      <c r="A37" s="14"/>
      <c r="C37" s="3" t="s">
        <v>10</v>
      </c>
      <c r="D37" s="6">
        <v>3601</v>
      </c>
      <c r="E37" s="6">
        <v>4084</v>
      </c>
      <c r="F37" s="6">
        <v>5028</v>
      </c>
      <c r="G37" s="6">
        <v>7688</v>
      </c>
      <c r="H37" s="6">
        <v>7703</v>
      </c>
      <c r="I37" s="6">
        <v>8162</v>
      </c>
      <c r="J37" s="6">
        <v>9193</v>
      </c>
      <c r="K37" s="6">
        <v>10023</v>
      </c>
      <c r="L37" s="6">
        <v>9378</v>
      </c>
      <c r="M37" s="6">
        <v>10063</v>
      </c>
      <c r="N37" s="6">
        <v>9474</v>
      </c>
      <c r="O37" s="6">
        <v>10132</v>
      </c>
      <c r="P37" s="6">
        <v>11431</v>
      </c>
      <c r="Q37" s="6">
        <v>10266</v>
      </c>
      <c r="R37" s="6">
        <v>11001</v>
      </c>
      <c r="S37" s="6">
        <v>10908</v>
      </c>
      <c r="T37" s="6">
        <v>11747</v>
      </c>
      <c r="U37" s="6">
        <v>13294</v>
      </c>
      <c r="V37" s="6">
        <v>13404</v>
      </c>
      <c r="W37" s="6">
        <v>14973</v>
      </c>
      <c r="X37" s="6">
        <v>16500</v>
      </c>
      <c r="Y37" s="6">
        <v>16137</v>
      </c>
      <c r="Z37" s="6">
        <v>16995</v>
      </c>
      <c r="AA37" s="6">
        <v>16354</v>
      </c>
      <c r="AB37" s="6">
        <v>19447</v>
      </c>
      <c r="AC37" s="6">
        <v>18902</v>
      </c>
      <c r="AD37" s="6">
        <v>19836</v>
      </c>
      <c r="AE37" s="6">
        <v>20983</v>
      </c>
      <c r="AF37" s="6">
        <v>32588</v>
      </c>
      <c r="AG37" s="6">
        <v>15984</v>
      </c>
      <c r="AH37" s="6">
        <v>18103</v>
      </c>
      <c r="AI37" s="6">
        <v>16382</v>
      </c>
      <c r="AJ37" s="6">
        <v>18013</v>
      </c>
      <c r="AK37" s="6">
        <v>18934</v>
      </c>
      <c r="AL37" s="6">
        <v>22998</v>
      </c>
      <c r="AM37" s="6">
        <v>6010</v>
      </c>
      <c r="AN37" s="6">
        <v>5807</v>
      </c>
      <c r="AO37" s="6">
        <v>5723</v>
      </c>
      <c r="AP37" s="6">
        <v>4175</v>
      </c>
      <c r="AQ37" s="4">
        <v>4231</v>
      </c>
      <c r="AR37" s="4">
        <v>3774</v>
      </c>
      <c r="AS37" s="4">
        <v>3277</v>
      </c>
      <c r="AT37" s="9">
        <f t="shared" ref="AT37" si="39">ROUND(AT27/AT$343,0)</f>
        <v>12374</v>
      </c>
      <c r="AU37" s="9">
        <f t="shared" ref="AU37:AV37" si="40">ROUND(AU27/AU$343,0)</f>
        <v>3635</v>
      </c>
      <c r="AV37" s="9">
        <f t="shared" si="40"/>
        <v>3435</v>
      </c>
      <c r="AW37" s="9">
        <f t="shared" si="28"/>
        <v>3351</v>
      </c>
      <c r="AX37" s="9">
        <f t="shared" si="28"/>
        <v>3650</v>
      </c>
      <c r="AY37" s="9">
        <f t="shared" ref="AY37" si="41">ROUND(AY27/AY$343,0)</f>
        <v>3215</v>
      </c>
    </row>
    <row r="38" spans="1:51">
      <c r="A38" s="14"/>
      <c r="C38" s="3" t="s">
        <v>17</v>
      </c>
      <c r="D38" s="4">
        <v>120679</v>
      </c>
      <c r="E38" s="4">
        <v>138390</v>
      </c>
      <c r="F38" s="4">
        <v>142222</v>
      </c>
      <c r="G38" s="4">
        <v>160875</v>
      </c>
      <c r="H38" s="4">
        <v>166468</v>
      </c>
      <c r="I38" s="4">
        <v>188718</v>
      </c>
      <c r="J38" s="4">
        <v>204420</v>
      </c>
      <c r="K38" s="4">
        <v>207322</v>
      </c>
      <c r="L38" s="4">
        <v>212252</v>
      </c>
      <c r="M38" s="4">
        <v>207333</v>
      </c>
      <c r="N38" s="4">
        <v>204228</v>
      </c>
      <c r="O38" s="4">
        <v>205542</v>
      </c>
      <c r="P38" s="4">
        <v>230643</v>
      </c>
      <c r="Q38" s="4">
        <v>209941</v>
      </c>
      <c r="R38" s="4">
        <v>211762</v>
      </c>
      <c r="S38" s="4">
        <f t="shared" ref="S38" si="42">SUM(S32:S37)</f>
        <v>218942</v>
      </c>
      <c r="T38" s="4">
        <v>219238</v>
      </c>
      <c r="U38" s="4">
        <v>223612</v>
      </c>
      <c r="V38" s="4">
        <v>221647</v>
      </c>
      <c r="W38" s="4">
        <v>213039</v>
      </c>
      <c r="X38" s="4">
        <v>215072</v>
      </c>
      <c r="Y38" s="4">
        <v>224086</v>
      </c>
      <c r="Z38" s="4">
        <v>242141</v>
      </c>
      <c r="AA38" s="4">
        <v>245957</v>
      </c>
      <c r="AB38" s="4">
        <v>262694</v>
      </c>
      <c r="AC38" s="4">
        <v>242919</v>
      </c>
      <c r="AD38" s="4">
        <v>232642</v>
      </c>
      <c r="AE38" s="4">
        <v>241023</v>
      </c>
      <c r="AF38" s="4">
        <v>272711</v>
      </c>
      <c r="AG38" s="4">
        <v>252149</v>
      </c>
      <c r="AH38" s="4">
        <v>243193</v>
      </c>
      <c r="AI38" s="4">
        <v>243303</v>
      </c>
      <c r="AJ38" s="4">
        <v>252650</v>
      </c>
      <c r="AK38" s="4">
        <v>257373</v>
      </c>
      <c r="AL38" s="4">
        <v>265034</v>
      </c>
      <c r="AM38" s="4">
        <v>246864</v>
      </c>
      <c r="AN38" s="4">
        <v>241552</v>
      </c>
      <c r="AO38" s="4">
        <v>237755</v>
      </c>
      <c r="AP38" s="4">
        <v>242373</v>
      </c>
      <c r="AQ38" s="4">
        <v>255024</v>
      </c>
      <c r="AR38" s="4">
        <v>262668</v>
      </c>
      <c r="AS38" s="4">
        <v>256134</v>
      </c>
      <c r="AT38" s="9">
        <f t="shared" ref="AT38:AY38" si="43">SUM(AT32:AT37)</f>
        <v>255149</v>
      </c>
      <c r="AU38" s="9">
        <f t="shared" si="43"/>
        <v>247030</v>
      </c>
      <c r="AV38" s="9">
        <f t="shared" si="43"/>
        <v>248195</v>
      </c>
      <c r="AW38" s="9">
        <f t="shared" si="43"/>
        <v>250856</v>
      </c>
      <c r="AX38" s="9">
        <f t="shared" si="43"/>
        <v>254514</v>
      </c>
      <c r="AY38" s="9">
        <f t="shared" si="43"/>
        <v>256176</v>
      </c>
    </row>
    <row r="39" spans="1:51">
      <c r="A39" s="14"/>
      <c r="C39" s="10" t="s">
        <v>12</v>
      </c>
      <c r="D39" s="8">
        <f t="shared" ref="D39:AQ39" si="44">D38/D326*100</f>
        <v>1.9887771918259725</v>
      </c>
      <c r="E39" s="8">
        <f t="shared" ref="E39" si="45">E38/E326*100</f>
        <v>2.0149970879440886</v>
      </c>
      <c r="F39" s="8">
        <f t="shared" si="44"/>
        <v>1.9368378047119705</v>
      </c>
      <c r="G39" s="8">
        <f t="shared" si="44"/>
        <v>1.8352156057494868</v>
      </c>
      <c r="H39" s="8">
        <f t="shared" si="44"/>
        <v>1.6942099092980747</v>
      </c>
      <c r="I39" s="8">
        <f t="shared" si="44"/>
        <v>1.7938705667605532</v>
      </c>
      <c r="J39" s="8">
        <f t="shared" si="44"/>
        <v>1.8346596666828516</v>
      </c>
      <c r="K39" s="8">
        <f t="shared" si="44"/>
        <v>1.7891616099951828</v>
      </c>
      <c r="L39" s="8">
        <f t="shared" si="44"/>
        <v>1.7779229699619707</v>
      </c>
      <c r="M39" s="8">
        <f t="shared" si="44"/>
        <v>1.6190350728071092</v>
      </c>
      <c r="N39" s="8">
        <f t="shared" si="44"/>
        <v>1.5385011749614561</v>
      </c>
      <c r="O39" s="8">
        <f t="shared" si="44"/>
        <v>1.5074344235003174</v>
      </c>
      <c r="P39" s="8">
        <f t="shared" si="44"/>
        <v>1.5092818250712505</v>
      </c>
      <c r="Q39" s="8">
        <f t="shared" si="44"/>
        <v>1.40774870980452</v>
      </c>
      <c r="R39" s="8">
        <f t="shared" si="44"/>
        <v>1.3842362628954648</v>
      </c>
      <c r="S39" s="8">
        <f t="shared" si="44"/>
        <v>1.4038643812967013</v>
      </c>
      <c r="T39" s="8">
        <f t="shared" si="44"/>
        <v>1.3419620246501158</v>
      </c>
      <c r="U39" s="8">
        <f t="shared" si="44"/>
        <v>1.2917419372131573</v>
      </c>
      <c r="V39" s="8">
        <f t="shared" si="44"/>
        <v>1.1427096944492634</v>
      </c>
      <c r="W39" s="8">
        <f t="shared" si="44"/>
        <v>1.1650564760277731</v>
      </c>
      <c r="X39" s="8">
        <f t="shared" si="44"/>
        <v>1.1020364452110001</v>
      </c>
      <c r="Y39" s="8">
        <f t="shared" si="44"/>
        <v>1.1485092126341652</v>
      </c>
      <c r="Z39" s="8">
        <f t="shared" si="44"/>
        <v>1.247727829708682</v>
      </c>
      <c r="AA39" s="8">
        <f t="shared" si="44"/>
        <v>1.1797823439072943</v>
      </c>
      <c r="AB39" s="8">
        <f t="shared" si="44"/>
        <v>1.2704032043327977</v>
      </c>
      <c r="AC39" s="8">
        <f t="shared" si="44"/>
        <v>1.1805403652721229</v>
      </c>
      <c r="AD39" s="8">
        <f t="shared" si="44"/>
        <v>1.1491286919220562</v>
      </c>
      <c r="AE39" s="8">
        <f t="shared" si="44"/>
        <v>1.1414288624753042</v>
      </c>
      <c r="AF39" s="8">
        <f t="shared" si="44"/>
        <v>1.1467520619784608</v>
      </c>
      <c r="AG39" s="8">
        <f t="shared" si="44"/>
        <v>1.0226784043492985</v>
      </c>
      <c r="AH39" s="8">
        <f t="shared" si="44"/>
        <v>0.84721220318893298</v>
      </c>
      <c r="AI39" s="8">
        <f t="shared" si="44"/>
        <v>0.93968755638828261</v>
      </c>
      <c r="AJ39" s="8">
        <f t="shared" si="44"/>
        <v>0.94268585658914272</v>
      </c>
      <c r="AK39" s="8">
        <f t="shared" si="44"/>
        <v>0.92508697951928687</v>
      </c>
      <c r="AL39" s="8">
        <f t="shared" si="44"/>
        <v>0.88845092573593598</v>
      </c>
      <c r="AM39" s="8">
        <f t="shared" si="44"/>
        <v>0.87890726176190537</v>
      </c>
      <c r="AN39" s="8">
        <f t="shared" si="44"/>
        <v>0.81947886664449732</v>
      </c>
      <c r="AO39" s="8">
        <f t="shared" si="44"/>
        <v>0.83291898455876012</v>
      </c>
      <c r="AP39" s="8">
        <f t="shared" si="44"/>
        <v>0.79913251492036808</v>
      </c>
      <c r="AQ39" s="8">
        <f t="shared" si="44"/>
        <v>0.80039597982928312</v>
      </c>
      <c r="AR39" s="8">
        <f t="shared" ref="AR39:AW39" si="46">AR38/AR326*100</f>
        <v>0.84353266733341803</v>
      </c>
      <c r="AS39" s="8">
        <f t="shared" si="46"/>
        <v>0.82971064726332244</v>
      </c>
      <c r="AT39" s="40">
        <f t="shared" si="46"/>
        <v>0.81530679576503595</v>
      </c>
      <c r="AU39" s="40">
        <f t="shared" ref="AU39:AV39" si="47">AU38/AU326*100</f>
        <v>0.7820970897638706</v>
      </c>
      <c r="AV39" s="40">
        <f t="shared" si="47"/>
        <v>0.77079494189830478</v>
      </c>
      <c r="AW39" s="40">
        <f t="shared" si="46"/>
        <v>0.77689994603859558</v>
      </c>
      <c r="AX39" s="40">
        <f t="shared" ref="AX39:AY39" si="48">AX38/AX326*100</f>
        <v>0.74965297509358975</v>
      </c>
      <c r="AY39" s="40">
        <f t="shared" si="48"/>
        <v>0.74420083357565714</v>
      </c>
    </row>
    <row r="40" spans="1:51">
      <c r="A40" s="1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1:51" s="22" customFormat="1">
      <c r="A41" s="21" t="s">
        <v>0</v>
      </c>
      <c r="B41" s="22" t="s">
        <v>3</v>
      </c>
      <c r="C41" s="22" t="s">
        <v>8</v>
      </c>
      <c r="D41" s="23">
        <v>2398235</v>
      </c>
      <c r="E41" s="23">
        <v>2535079</v>
      </c>
      <c r="F41" s="23">
        <v>2844330</v>
      </c>
      <c r="G41" s="23">
        <v>3436602</v>
      </c>
      <c r="H41" s="23">
        <v>4309256</v>
      </c>
      <c r="I41" s="23">
        <v>4658927</v>
      </c>
      <c r="J41" s="23">
        <v>4967899</v>
      </c>
      <c r="K41" s="23">
        <v>4929953</v>
      </c>
      <c r="L41" s="23">
        <f>1909540+2872054</f>
        <v>4781594</v>
      </c>
      <c r="M41" s="23">
        <f>2039624+3008678</f>
        <v>5048302</v>
      </c>
      <c r="N41" s="23">
        <f>1976029+2794665</f>
        <v>4770694</v>
      </c>
      <c r="O41" s="23">
        <f>1912670+2664902</f>
        <v>4577572</v>
      </c>
      <c r="P41" s="23">
        <f>2084023+4273052</f>
        <v>6357075</v>
      </c>
      <c r="Q41" s="23">
        <f>2025116+2677029</f>
        <v>4702145</v>
      </c>
      <c r="R41" s="23">
        <f>2083581+2661686</f>
        <v>4745267</v>
      </c>
      <c r="S41" s="23">
        <f>1987856+2707555</f>
        <v>4695411</v>
      </c>
      <c r="T41" s="23">
        <f>1882590+2545263</f>
        <v>4427853</v>
      </c>
      <c r="U41" s="23">
        <f>1857135+2451163</f>
        <v>4308298</v>
      </c>
      <c r="V41" s="23">
        <f>1832944+2352620</f>
        <v>4185564</v>
      </c>
      <c r="W41" s="23">
        <f>1876259+2281208</f>
        <v>4157467</v>
      </c>
      <c r="X41" s="23">
        <f>2087257+2218635</f>
        <v>4305892</v>
      </c>
      <c r="Y41" s="23">
        <f>2129382+2325741</f>
        <v>4455123</v>
      </c>
      <c r="Z41" s="23">
        <f>2190407+2520963</f>
        <v>4711370</v>
      </c>
      <c r="AA41" s="23">
        <f>1946054+2350589</f>
        <v>4296643</v>
      </c>
      <c r="AB41" s="23">
        <f>2081285+2256141</f>
        <v>4337426</v>
      </c>
      <c r="AC41" s="23">
        <f>2154832+1980536</f>
        <v>4135368</v>
      </c>
      <c r="AD41" s="23">
        <v>4116136</v>
      </c>
      <c r="AE41" s="23">
        <v>3875671</v>
      </c>
      <c r="AF41" s="23">
        <v>3825306</v>
      </c>
      <c r="AG41" s="23">
        <v>3389215</v>
      </c>
      <c r="AH41" s="23">
        <v>3860653</v>
      </c>
      <c r="AI41" s="23">
        <v>3608588</v>
      </c>
      <c r="AJ41" s="23">
        <v>3725793</v>
      </c>
      <c r="AK41" s="23">
        <v>3568178</v>
      </c>
      <c r="AL41" s="23">
        <v>4143306</v>
      </c>
      <c r="AM41" s="23">
        <v>3388522</v>
      </c>
      <c r="AN41" s="23">
        <v>3288186</v>
      </c>
      <c r="AO41" s="23">
        <v>3185628</v>
      </c>
      <c r="AP41" s="23">
        <v>3180174</v>
      </c>
      <c r="AQ41" s="23">
        <v>2901041</v>
      </c>
      <c r="AR41" s="23">
        <v>2692506</v>
      </c>
      <c r="AS41" s="23">
        <v>2340048</v>
      </c>
      <c r="AT41" s="23">
        <v>2347034</v>
      </c>
      <c r="AU41" s="23">
        <v>2109365</v>
      </c>
      <c r="AV41" s="23">
        <v>2039661</v>
      </c>
      <c r="AW41" s="23">
        <v>2087652</v>
      </c>
      <c r="AX41" s="23">
        <v>2169444</v>
      </c>
      <c r="AY41" s="23">
        <v>1870974</v>
      </c>
    </row>
    <row r="42" spans="1:51">
      <c r="A42" s="14"/>
      <c r="B42" s="3" t="s">
        <v>21</v>
      </c>
      <c r="C42" s="3" t="s">
        <v>9</v>
      </c>
      <c r="D42" s="4">
        <v>1838083</v>
      </c>
      <c r="E42" s="4">
        <v>2099842</v>
      </c>
      <c r="F42" s="4">
        <v>2374707</v>
      </c>
      <c r="G42" s="4">
        <v>2513378</v>
      </c>
      <c r="H42" s="4">
        <v>2731858</v>
      </c>
      <c r="I42" s="4">
        <v>3481229</v>
      </c>
      <c r="J42" s="4">
        <v>3869002</v>
      </c>
      <c r="K42" s="4">
        <f>596426+3584118</f>
        <v>4180544</v>
      </c>
      <c r="L42" s="4">
        <f>595212+4132876</f>
        <v>4728088</v>
      </c>
      <c r="M42" s="4">
        <f>629347+3935115</f>
        <v>4564462</v>
      </c>
      <c r="N42" s="4">
        <f>660332+4005975</f>
        <v>4666307</v>
      </c>
      <c r="O42" s="4">
        <f>678719+4100225</f>
        <v>4778944</v>
      </c>
      <c r="P42" s="4">
        <f>713348+3943214</f>
        <v>4656562</v>
      </c>
      <c r="Q42" s="4">
        <f>735677+4045161</f>
        <v>4780838</v>
      </c>
      <c r="R42" s="4">
        <f>758999+4117846</f>
        <v>4876845</v>
      </c>
      <c r="S42" s="4">
        <f>786781+4625942</f>
        <v>5412723</v>
      </c>
      <c r="T42" s="4">
        <f>776295+4887704</f>
        <v>5663999</v>
      </c>
      <c r="U42" s="4">
        <f>813159+4989292</f>
        <v>5802451</v>
      </c>
      <c r="V42" s="4">
        <f>792161+5055131</f>
        <v>5847292</v>
      </c>
      <c r="W42" s="4">
        <f>847823+4530526</f>
        <v>5378349</v>
      </c>
      <c r="X42" s="4">
        <f>843623+4411249</f>
        <v>5254872</v>
      </c>
      <c r="Y42" s="4">
        <f>803203+4870572</f>
        <v>5673775</v>
      </c>
      <c r="Z42" s="4">
        <f>858935+5694211</f>
        <v>6553146</v>
      </c>
      <c r="AA42" s="4">
        <f>841271+6255908</f>
        <v>7097179</v>
      </c>
      <c r="AB42" s="4">
        <f>930654+7364892</f>
        <v>8295546</v>
      </c>
      <c r="AC42" s="4">
        <f>883908+6362494</f>
        <v>7246402</v>
      </c>
      <c r="AD42" s="4">
        <v>6786604</v>
      </c>
      <c r="AE42" s="4">
        <v>7224987</v>
      </c>
      <c r="AF42" s="4">
        <v>7147642</v>
      </c>
      <c r="AG42" s="4">
        <v>5810443</v>
      </c>
      <c r="AH42" s="4">
        <v>4101408</v>
      </c>
      <c r="AI42" s="4">
        <v>4592116</v>
      </c>
      <c r="AJ42" s="4">
        <v>4065567</v>
      </c>
      <c r="AK42" s="4">
        <v>3823596</v>
      </c>
      <c r="AL42" s="4">
        <v>3363105</v>
      </c>
      <c r="AM42" s="4">
        <v>3028770</v>
      </c>
      <c r="AN42" s="4">
        <v>2825994</v>
      </c>
      <c r="AO42" s="4">
        <v>2320699</v>
      </c>
      <c r="AP42" s="4">
        <v>2262337</v>
      </c>
      <c r="AQ42" s="4">
        <v>2497871</v>
      </c>
      <c r="AR42" s="4">
        <v>2482020</v>
      </c>
      <c r="AS42" s="4">
        <v>2046525</v>
      </c>
      <c r="AT42" s="4">
        <v>1766930</v>
      </c>
      <c r="AU42" s="4">
        <v>1684736</v>
      </c>
      <c r="AV42" s="4">
        <v>1610568</v>
      </c>
      <c r="AW42" s="4">
        <v>1502042</v>
      </c>
      <c r="AX42" s="4">
        <v>1442585</v>
      </c>
      <c r="AY42" s="4">
        <v>1461297</v>
      </c>
    </row>
    <row r="43" spans="1:51">
      <c r="A43" s="14"/>
      <c r="C43" s="3" t="s">
        <v>11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AG43" s="4">
        <v>2010756</v>
      </c>
      <c r="AH43" s="4">
        <v>3069738</v>
      </c>
      <c r="AI43" s="4">
        <v>3719133</v>
      </c>
      <c r="AJ43" s="4">
        <v>4656948</v>
      </c>
      <c r="AK43" s="4">
        <v>5076886</v>
      </c>
      <c r="AL43" s="4">
        <v>5160664</v>
      </c>
      <c r="AM43" s="4">
        <v>5233655</v>
      </c>
      <c r="AN43" s="4">
        <v>5304286</v>
      </c>
      <c r="AO43" s="4">
        <v>5675284</v>
      </c>
      <c r="AP43" s="4">
        <v>6148324</v>
      </c>
      <c r="AQ43" s="4">
        <v>6807721</v>
      </c>
      <c r="AR43" s="4">
        <v>7316181</v>
      </c>
      <c r="AS43" s="4">
        <v>7797685</v>
      </c>
      <c r="AT43" s="4">
        <v>7707472</v>
      </c>
      <c r="AU43" s="4">
        <v>8138117</v>
      </c>
      <c r="AV43" s="4">
        <v>8295798</v>
      </c>
      <c r="AW43" s="4">
        <v>8260021</v>
      </c>
      <c r="AX43" s="4">
        <v>8377792</v>
      </c>
      <c r="AY43" s="4">
        <v>8852506</v>
      </c>
    </row>
    <row r="44" spans="1:51">
      <c r="A44" s="14"/>
      <c r="C44" s="3" t="s">
        <v>26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AM44" s="4">
        <v>121634</v>
      </c>
      <c r="AN44" s="4">
        <v>114705</v>
      </c>
      <c r="AO44" s="4">
        <v>175065</v>
      </c>
      <c r="AP44" s="4">
        <v>217333</v>
      </c>
      <c r="AQ44" s="4">
        <v>261986</v>
      </c>
      <c r="AR44" s="4">
        <v>240981</v>
      </c>
      <c r="AS44" s="4">
        <v>203455</v>
      </c>
      <c r="AT44" s="4">
        <v>252471</v>
      </c>
      <c r="AU44" s="4">
        <v>245504</v>
      </c>
      <c r="AV44" s="4">
        <v>294239</v>
      </c>
      <c r="AW44" s="4">
        <v>476341</v>
      </c>
      <c r="AX44" s="4">
        <v>496361</v>
      </c>
      <c r="AY44" s="4">
        <v>324923</v>
      </c>
    </row>
    <row r="45" spans="1:51">
      <c r="A45" s="14"/>
      <c r="C45" s="3" t="s">
        <v>24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AM45" s="4">
        <v>761810</v>
      </c>
      <c r="AN45" s="4">
        <v>858742</v>
      </c>
      <c r="AO45" s="4">
        <v>834014</v>
      </c>
      <c r="AP45" s="4">
        <v>954261</v>
      </c>
      <c r="AQ45" s="4">
        <v>1059200</v>
      </c>
      <c r="AR45" s="4">
        <v>1186945</v>
      </c>
      <c r="AS45" s="4">
        <v>1149545</v>
      </c>
      <c r="AT45" s="4">
        <v>1233988</v>
      </c>
      <c r="AU45" s="4">
        <v>1208884</v>
      </c>
      <c r="AV45" s="4">
        <v>1267975</v>
      </c>
      <c r="AW45" s="4">
        <v>1353351</v>
      </c>
      <c r="AX45" s="4">
        <v>1441064</v>
      </c>
      <c r="AY45" s="4">
        <v>1475686</v>
      </c>
    </row>
    <row r="46" spans="1:51">
      <c r="A46" s="14"/>
      <c r="C46" s="3" t="s">
        <v>10</v>
      </c>
      <c r="D46" s="4">
        <v>142547</v>
      </c>
      <c r="E46" s="4">
        <v>159569</v>
      </c>
      <c r="F46" s="4">
        <v>204207</v>
      </c>
      <c r="G46" s="4">
        <v>381133</v>
      </c>
      <c r="H46" s="4">
        <v>451521</v>
      </c>
      <c r="I46" s="4">
        <v>482585</v>
      </c>
      <c r="J46" s="4">
        <v>536019</v>
      </c>
      <c r="K46" s="4">
        <v>558205</v>
      </c>
      <c r="L46" s="4">
        <v>484964</v>
      </c>
      <c r="M46" s="4">
        <v>563075</v>
      </c>
      <c r="N46" s="4">
        <v>538048</v>
      </c>
      <c r="O46" s="4">
        <v>542394</v>
      </c>
      <c r="P46" s="4">
        <v>625571</v>
      </c>
      <c r="Q46" s="4">
        <v>516629</v>
      </c>
      <c r="R46" s="4">
        <v>580616</v>
      </c>
      <c r="S46" s="4">
        <v>580305</v>
      </c>
      <c r="T46" s="4">
        <v>639372</v>
      </c>
      <c r="U46" s="4">
        <v>731549</v>
      </c>
      <c r="V46" s="4">
        <v>731458</v>
      </c>
      <c r="W46" s="4">
        <v>752912</v>
      </c>
      <c r="X46" s="4">
        <v>868379</v>
      </c>
      <c r="Y46" s="4">
        <v>759867</v>
      </c>
      <c r="Z46" s="4">
        <v>797368</v>
      </c>
      <c r="AA46" s="4">
        <v>795570</v>
      </c>
      <c r="AB46" s="4">
        <v>1012609</v>
      </c>
      <c r="AC46" s="4">
        <v>986742</v>
      </c>
      <c r="AD46" s="4">
        <v>1066319</v>
      </c>
      <c r="AE46" s="4">
        <v>1036806</v>
      </c>
      <c r="AF46" s="4">
        <v>1700457</v>
      </c>
      <c r="AG46" s="4">
        <v>708905</v>
      </c>
      <c r="AH46" s="4">
        <v>771832</v>
      </c>
      <c r="AI46" s="4">
        <v>714761</v>
      </c>
      <c r="AJ46" s="4">
        <v>834248</v>
      </c>
      <c r="AK46" s="4">
        <v>855292</v>
      </c>
      <c r="AL46" s="4">
        <v>1048885</v>
      </c>
      <c r="AM46" s="4">
        <v>226343</v>
      </c>
      <c r="AN46" s="4">
        <v>238430</v>
      </c>
      <c r="AO46" s="4">
        <v>300336</v>
      </c>
      <c r="AP46" s="4">
        <v>189518</v>
      </c>
      <c r="AQ46" s="4">
        <v>204070</v>
      </c>
      <c r="AR46" s="4">
        <v>174066</v>
      </c>
      <c r="AS46" s="4">
        <v>157239</v>
      </c>
      <c r="AT46" s="4">
        <v>143900</v>
      </c>
      <c r="AU46" s="4">
        <v>177870</v>
      </c>
      <c r="AV46" s="4">
        <v>163057</v>
      </c>
      <c r="AW46" s="4">
        <v>176537</v>
      </c>
      <c r="AX46" s="4">
        <v>212837</v>
      </c>
      <c r="AY46" s="4">
        <v>174260</v>
      </c>
    </row>
    <row r="47" spans="1:51">
      <c r="A47" s="14"/>
      <c r="C47" s="3" t="s">
        <v>17</v>
      </c>
      <c r="D47" s="4">
        <v>4378865</v>
      </c>
      <c r="E47" s="4">
        <v>4794490</v>
      </c>
      <c r="F47" s="4">
        <v>5423244</v>
      </c>
      <c r="G47" s="4">
        <v>6331113</v>
      </c>
      <c r="H47" s="4">
        <v>7492635</v>
      </c>
      <c r="I47" s="4">
        <v>8622741</v>
      </c>
      <c r="J47" s="4">
        <v>9372920</v>
      </c>
      <c r="K47" s="4">
        <v>9668702</v>
      </c>
      <c r="L47" s="4">
        <v>9994646</v>
      </c>
      <c r="M47" s="4">
        <v>10175839</v>
      </c>
      <c r="N47" s="4">
        <v>9975049</v>
      </c>
      <c r="O47" s="4">
        <v>9898910</v>
      </c>
      <c r="P47" s="4">
        <v>11639208</v>
      </c>
      <c r="Q47" s="4">
        <v>9999612</v>
      </c>
      <c r="R47" s="4">
        <v>10202728</v>
      </c>
      <c r="S47" s="4">
        <v>10688439</v>
      </c>
      <c r="T47" s="4">
        <v>10731224</v>
      </c>
      <c r="U47" s="4">
        <v>10842298</v>
      </c>
      <c r="V47" s="4">
        <v>10764314</v>
      </c>
      <c r="W47" s="4">
        <v>10288728</v>
      </c>
      <c r="X47" s="4">
        <v>10429143</v>
      </c>
      <c r="Y47" s="4">
        <v>10888765</v>
      </c>
      <c r="Z47" s="4">
        <v>12061884</v>
      </c>
      <c r="AA47" s="4">
        <v>12189392</v>
      </c>
      <c r="AB47" s="4">
        <v>13645581</v>
      </c>
      <c r="AC47" s="4">
        <v>12368512</v>
      </c>
      <c r="AD47" s="4">
        <v>11969059</v>
      </c>
      <c r="AE47" s="4">
        <v>12137464</v>
      </c>
      <c r="AF47" s="4">
        <v>12673405</v>
      </c>
      <c r="AG47" s="4">
        <v>11919319</v>
      </c>
      <c r="AH47" s="4">
        <v>11803631</v>
      </c>
      <c r="AI47" s="4">
        <v>12634598</v>
      </c>
      <c r="AJ47" s="4">
        <v>13282556</v>
      </c>
      <c r="AK47" s="4">
        <v>13323952</v>
      </c>
      <c r="AL47" s="4">
        <v>13715960</v>
      </c>
      <c r="AM47" s="4">
        <v>12760734</v>
      </c>
      <c r="AN47" s="4">
        <v>12630343</v>
      </c>
      <c r="AO47" s="4">
        <v>12491026</v>
      </c>
      <c r="AP47" s="4">
        <v>12951947</v>
      </c>
      <c r="AQ47" s="4">
        <v>13731889</v>
      </c>
      <c r="AR47" s="4">
        <v>14092699</v>
      </c>
      <c r="AS47" s="4">
        <v>13694497</v>
      </c>
      <c r="AT47" s="9">
        <f t="shared" ref="AT47:AY47" si="49">SUM(AT41:AT46)</f>
        <v>13451795</v>
      </c>
      <c r="AU47" s="9">
        <f t="shared" si="49"/>
        <v>13564476</v>
      </c>
      <c r="AV47" s="9">
        <f t="shared" si="49"/>
        <v>13671298</v>
      </c>
      <c r="AW47" s="9">
        <f t="shared" si="49"/>
        <v>13855944</v>
      </c>
      <c r="AX47" s="9">
        <f t="shared" si="49"/>
        <v>14140083</v>
      </c>
      <c r="AY47" s="9">
        <f t="shared" si="49"/>
        <v>14159646</v>
      </c>
    </row>
    <row r="48" spans="1:51">
      <c r="A48" s="14"/>
      <c r="C48" s="10" t="s">
        <v>12</v>
      </c>
      <c r="D48" s="8">
        <f t="shared" ref="D48:AQ48" si="50">D47/D309*100</f>
        <v>1.9444165682365167</v>
      </c>
      <c r="E48" s="8">
        <f t="shared" ref="E48" si="51">E47/E309*100</f>
        <v>1.9263954291959307</v>
      </c>
      <c r="F48" s="8">
        <f t="shared" si="50"/>
        <v>1.852719682424723</v>
      </c>
      <c r="G48" s="8">
        <f t="shared" si="50"/>
        <v>1.8940740563455283</v>
      </c>
      <c r="H48" s="8">
        <f t="shared" si="50"/>
        <v>1.6322890066358711</v>
      </c>
      <c r="I48" s="8">
        <f t="shared" si="50"/>
        <v>1.7470436263998266</v>
      </c>
      <c r="J48" s="8">
        <f t="shared" si="50"/>
        <v>1.870245445760325</v>
      </c>
      <c r="K48" s="8">
        <f t="shared" si="50"/>
        <v>1.8149080980693788</v>
      </c>
      <c r="L48" s="8">
        <f t="shared" si="50"/>
        <v>1.8325381113587502</v>
      </c>
      <c r="M48" s="8">
        <f t="shared" si="50"/>
        <v>1.7199885207204637</v>
      </c>
      <c r="N48" s="8">
        <f t="shared" si="50"/>
        <v>1.6121663381580751</v>
      </c>
      <c r="O48" s="8">
        <f t="shared" si="50"/>
        <v>1.5283233231954507</v>
      </c>
      <c r="P48" s="8">
        <f t="shared" si="50"/>
        <v>1.6094629920596428</v>
      </c>
      <c r="Q48" s="8">
        <f t="shared" si="50"/>
        <v>1.422355228849187</v>
      </c>
      <c r="R48" s="8">
        <f t="shared" si="50"/>
        <v>1.4212566383025007</v>
      </c>
      <c r="S48" s="8">
        <f t="shared" si="50"/>
        <v>1.4382882549386315</v>
      </c>
      <c r="T48" s="8">
        <f t="shared" si="50"/>
        <v>1.3912640659147371</v>
      </c>
      <c r="U48" s="8">
        <f t="shared" si="50"/>
        <v>1.3069821172693021</v>
      </c>
      <c r="V48" s="8">
        <f t="shared" si="50"/>
        <v>1.2376301787945632</v>
      </c>
      <c r="W48" s="8">
        <f t="shared" si="50"/>
        <v>1.2150821920848365</v>
      </c>
      <c r="X48" s="8">
        <f t="shared" si="50"/>
        <v>1.137564408083992</v>
      </c>
      <c r="Y48" s="8">
        <f t="shared" si="50"/>
        <v>1.1786131249806606</v>
      </c>
      <c r="Z48" s="8">
        <f t="shared" si="50"/>
        <v>1.2638480975017952</v>
      </c>
      <c r="AA48" s="8">
        <f t="shared" si="50"/>
        <v>1.1898083755319986</v>
      </c>
      <c r="AB48" s="8">
        <f t="shared" si="50"/>
        <v>1.3608015393106561</v>
      </c>
      <c r="AC48" s="8">
        <f t="shared" si="50"/>
        <v>1.2143429919837132</v>
      </c>
      <c r="AD48" s="8">
        <f t="shared" si="50"/>
        <v>1.1761279565959766</v>
      </c>
      <c r="AE48" s="8">
        <f t="shared" si="50"/>
        <v>1.1659785286744255</v>
      </c>
      <c r="AF48" s="8">
        <f t="shared" si="50"/>
        <v>1.1902583805513003</v>
      </c>
      <c r="AG48" s="8">
        <f t="shared" si="50"/>
        <v>1.1322805104926417</v>
      </c>
      <c r="AH48" s="8">
        <f t="shared" si="50"/>
        <v>0.90184435648725181</v>
      </c>
      <c r="AI48" s="8">
        <f t="shared" si="50"/>
        <v>1.037102673744873</v>
      </c>
      <c r="AJ48" s="8">
        <f t="shared" si="50"/>
        <v>1.0743905477468325</v>
      </c>
      <c r="AK48" s="8">
        <f t="shared" si="50"/>
        <v>1.0337589324000667</v>
      </c>
      <c r="AL48" s="8">
        <f t="shared" si="50"/>
        <v>0.99962669343886013</v>
      </c>
      <c r="AM48" s="8">
        <f t="shared" si="50"/>
        <v>0.96584105471460435</v>
      </c>
      <c r="AN48" s="8">
        <f t="shared" si="50"/>
        <v>0.87796191149728497</v>
      </c>
      <c r="AO48" s="8">
        <f t="shared" si="50"/>
        <v>0.92110975172181719</v>
      </c>
      <c r="AP48" s="8">
        <f t="shared" si="50"/>
        <v>0.87089815695046802</v>
      </c>
      <c r="AQ48" s="8">
        <f t="shared" si="50"/>
        <v>0.87612907716927357</v>
      </c>
      <c r="AR48" s="8">
        <f t="shared" ref="AR48:AW48" si="52">AR47/AR309*100</f>
        <v>0.93622813202927668</v>
      </c>
      <c r="AS48" s="8">
        <f t="shared" si="52"/>
        <v>0.92223996455451462</v>
      </c>
      <c r="AT48" s="40">
        <f t="shared" si="52"/>
        <v>0.86845389631480552</v>
      </c>
      <c r="AU48" s="40">
        <f t="shared" ref="AU48:AV48" si="53">AU47/AU309*100</f>
        <v>0.87537847408133729</v>
      </c>
      <c r="AV48" s="40">
        <f t="shared" si="53"/>
        <v>0.86950486304086405</v>
      </c>
      <c r="AW48" s="40">
        <f t="shared" si="52"/>
        <v>0.88076337768938606</v>
      </c>
      <c r="AX48" s="40">
        <f t="shared" ref="AX48:AY48" si="54">AX47/AX309*100</f>
        <v>0.84531090455695723</v>
      </c>
      <c r="AY48" s="40">
        <f t="shared" si="54"/>
        <v>0.83391253029684087</v>
      </c>
    </row>
    <row r="49" spans="1:51">
      <c r="A49" s="1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1:51" s="2" customFormat="1">
      <c r="A50" s="15"/>
      <c r="C50" s="3"/>
      <c r="D50" s="1">
        <f t="shared" ref="D50:O50" si="55">D2</f>
        <v>1975</v>
      </c>
      <c r="E50" s="1">
        <f t="shared" ref="E50" si="56">E2</f>
        <v>76</v>
      </c>
      <c r="F50" s="1">
        <f t="shared" si="55"/>
        <v>77</v>
      </c>
      <c r="G50" s="1">
        <f t="shared" si="55"/>
        <v>78</v>
      </c>
      <c r="H50" s="1">
        <f t="shared" si="55"/>
        <v>79</v>
      </c>
      <c r="I50" s="1">
        <f t="shared" si="55"/>
        <v>80</v>
      </c>
      <c r="J50" s="1">
        <f t="shared" si="55"/>
        <v>81</v>
      </c>
      <c r="K50" s="1">
        <f t="shared" si="55"/>
        <v>82</v>
      </c>
      <c r="L50" s="1">
        <f t="shared" si="55"/>
        <v>83</v>
      </c>
      <c r="M50" s="1">
        <f t="shared" si="55"/>
        <v>84</v>
      </c>
      <c r="N50" s="1">
        <f t="shared" si="55"/>
        <v>85</v>
      </c>
      <c r="O50" s="1">
        <f t="shared" si="55"/>
        <v>86</v>
      </c>
      <c r="P50" s="1">
        <f t="shared" ref="P50:AQ50" si="57">P2</f>
        <v>87</v>
      </c>
      <c r="Q50" s="1">
        <f t="shared" si="57"/>
        <v>88</v>
      </c>
      <c r="R50" s="1">
        <f t="shared" si="57"/>
        <v>89</v>
      </c>
      <c r="S50" s="1" t="str">
        <f t="shared" si="57"/>
        <v>90</v>
      </c>
      <c r="T50" s="1" t="str">
        <f t="shared" si="57"/>
        <v>91</v>
      </c>
      <c r="U50" s="1" t="str">
        <f t="shared" si="57"/>
        <v>92</v>
      </c>
      <c r="V50" s="1" t="str">
        <f t="shared" si="57"/>
        <v>93</v>
      </c>
      <c r="W50" s="1" t="str">
        <f t="shared" si="57"/>
        <v>94</v>
      </c>
      <c r="X50" s="1" t="str">
        <f t="shared" si="57"/>
        <v>95</v>
      </c>
      <c r="Y50" s="1" t="str">
        <f t="shared" si="57"/>
        <v>96</v>
      </c>
      <c r="Z50" s="1" t="str">
        <f t="shared" si="57"/>
        <v>97</v>
      </c>
      <c r="AA50" s="1" t="str">
        <f t="shared" si="57"/>
        <v>98</v>
      </c>
      <c r="AB50" s="1" t="str">
        <f t="shared" si="57"/>
        <v>99</v>
      </c>
      <c r="AC50" s="1" t="str">
        <f t="shared" si="57"/>
        <v>2000</v>
      </c>
      <c r="AD50" s="1" t="str">
        <f t="shared" si="57"/>
        <v>01</v>
      </c>
      <c r="AE50" s="1" t="str">
        <f t="shared" si="57"/>
        <v>02</v>
      </c>
      <c r="AF50" s="1" t="str">
        <f t="shared" si="57"/>
        <v>03</v>
      </c>
      <c r="AG50" s="1" t="str">
        <f t="shared" si="57"/>
        <v>04</v>
      </c>
      <c r="AH50" s="1" t="str">
        <f t="shared" si="57"/>
        <v>05</v>
      </c>
      <c r="AI50" s="1" t="str">
        <f t="shared" si="57"/>
        <v>06</v>
      </c>
      <c r="AJ50" s="1" t="str">
        <f t="shared" si="57"/>
        <v>07</v>
      </c>
      <c r="AK50" s="1" t="str">
        <f t="shared" si="57"/>
        <v>08</v>
      </c>
      <c r="AL50" s="1" t="str">
        <f t="shared" si="57"/>
        <v>09</v>
      </c>
      <c r="AM50" s="1" t="str">
        <f t="shared" si="57"/>
        <v>10</v>
      </c>
      <c r="AN50" s="1" t="str">
        <f t="shared" si="57"/>
        <v>11</v>
      </c>
      <c r="AO50" s="1" t="str">
        <f t="shared" si="57"/>
        <v>12</v>
      </c>
      <c r="AP50" s="1" t="str">
        <f t="shared" si="57"/>
        <v>13</v>
      </c>
      <c r="AQ50" s="1" t="str">
        <f t="shared" si="57"/>
        <v>14</v>
      </c>
      <c r="AR50" s="1" t="str">
        <f t="shared" ref="AR50:AS50" si="58">AR2</f>
        <v>15</v>
      </c>
      <c r="AS50" s="1" t="str">
        <f t="shared" si="58"/>
        <v>16</v>
      </c>
      <c r="AT50" s="1" t="str">
        <f t="shared" ref="AT50" si="59">AT2</f>
        <v>17</v>
      </c>
      <c r="AU50" s="1">
        <v>18</v>
      </c>
      <c r="AV50" s="1">
        <v>19</v>
      </c>
      <c r="AW50" s="1">
        <v>20</v>
      </c>
      <c r="AX50" s="1">
        <v>21</v>
      </c>
      <c r="AY50" s="1">
        <v>22</v>
      </c>
    </row>
    <row r="51" spans="1:51">
      <c r="A51" s="14" t="s">
        <v>0</v>
      </c>
      <c r="B51" s="3" t="s">
        <v>28</v>
      </c>
      <c r="C51" s="3" t="s">
        <v>8</v>
      </c>
      <c r="D51" s="4">
        <f t="shared" ref="D51:AQ51" si="60">D41/D344</f>
        <v>239823.5</v>
      </c>
      <c r="E51" s="4">
        <f t="shared" ref="E51" si="61">E41/E344</f>
        <v>253507.9</v>
      </c>
      <c r="F51" s="4">
        <f t="shared" si="60"/>
        <v>258575.45454545456</v>
      </c>
      <c r="G51" s="4">
        <f t="shared" si="60"/>
        <v>286383.5</v>
      </c>
      <c r="H51" s="4">
        <f t="shared" si="60"/>
        <v>287283.73333333334</v>
      </c>
      <c r="I51" s="4">
        <f t="shared" si="60"/>
        <v>310595.13333333336</v>
      </c>
      <c r="J51" s="4">
        <f t="shared" si="60"/>
        <v>331193.26666666666</v>
      </c>
      <c r="K51" s="4">
        <f t="shared" si="60"/>
        <v>328663.53333333333</v>
      </c>
      <c r="L51" s="4">
        <f t="shared" si="60"/>
        <v>318772.93333333335</v>
      </c>
      <c r="M51" s="4">
        <f t="shared" si="60"/>
        <v>336553.46666666667</v>
      </c>
      <c r="N51" s="4">
        <f t="shared" si="60"/>
        <v>318046.26666666666</v>
      </c>
      <c r="O51" s="4">
        <f t="shared" si="60"/>
        <v>305171.46666666667</v>
      </c>
      <c r="P51" s="4">
        <f t="shared" si="60"/>
        <v>423805</v>
      </c>
      <c r="Q51" s="4">
        <f t="shared" si="60"/>
        <v>313476.33333333331</v>
      </c>
      <c r="R51" s="4">
        <f t="shared" si="60"/>
        <v>316351.13333333336</v>
      </c>
      <c r="S51" s="4">
        <f t="shared" si="60"/>
        <v>313027.40000000002</v>
      </c>
      <c r="T51" s="4">
        <f t="shared" si="60"/>
        <v>295190.2</v>
      </c>
      <c r="U51" s="4">
        <f t="shared" si="60"/>
        <v>287219.86666666664</v>
      </c>
      <c r="V51" s="4">
        <f t="shared" si="60"/>
        <v>279037.59999999998</v>
      </c>
      <c r="W51" s="4">
        <f t="shared" si="60"/>
        <v>277164.46666666667</v>
      </c>
      <c r="X51" s="4">
        <f t="shared" si="60"/>
        <v>287059.46666666667</v>
      </c>
      <c r="Y51" s="4">
        <f t="shared" si="60"/>
        <v>297008.2</v>
      </c>
      <c r="Z51" s="4">
        <f t="shared" si="60"/>
        <v>294460.625</v>
      </c>
      <c r="AA51" s="4">
        <f t="shared" si="60"/>
        <v>268540.1875</v>
      </c>
      <c r="AB51" s="4">
        <f t="shared" si="60"/>
        <v>271089.125</v>
      </c>
      <c r="AC51" s="4">
        <f t="shared" si="60"/>
        <v>258460.5</v>
      </c>
      <c r="AD51" s="4">
        <f t="shared" si="60"/>
        <v>257258.5</v>
      </c>
      <c r="AE51" s="4">
        <f t="shared" si="60"/>
        <v>242229.4375</v>
      </c>
      <c r="AF51" s="4">
        <f t="shared" si="60"/>
        <v>239081.625</v>
      </c>
      <c r="AG51" s="4">
        <f t="shared" si="60"/>
        <v>211825.9375</v>
      </c>
      <c r="AH51" s="4">
        <f t="shared" si="60"/>
        <v>227097.23529411765</v>
      </c>
      <c r="AI51" s="4">
        <f t="shared" si="60"/>
        <v>200477.11111111112</v>
      </c>
      <c r="AJ51" s="4">
        <f t="shared" si="60"/>
        <v>206988.5</v>
      </c>
      <c r="AK51" s="4">
        <f t="shared" si="60"/>
        <v>198232.11111111112</v>
      </c>
      <c r="AL51" s="4">
        <f t="shared" si="60"/>
        <v>230183.66666666666</v>
      </c>
      <c r="AM51" s="4">
        <f t="shared" si="60"/>
        <v>188251.22222222222</v>
      </c>
      <c r="AN51" s="4">
        <f t="shared" si="60"/>
        <v>173062.42105263157</v>
      </c>
      <c r="AO51" s="4">
        <f t="shared" si="60"/>
        <v>167664.63157894736</v>
      </c>
      <c r="AP51" s="4">
        <f t="shared" si="60"/>
        <v>167377.57894736843</v>
      </c>
      <c r="AQ51" s="4">
        <f t="shared" si="60"/>
        <v>152686.36842105264</v>
      </c>
      <c r="AR51" s="4">
        <f t="shared" ref="AR51" si="62">AR41/AR344</f>
        <v>141710.84210526315</v>
      </c>
      <c r="AS51" s="4">
        <v>123160</v>
      </c>
      <c r="AT51" s="9">
        <f t="shared" ref="AT51:AY51" si="63">ROUND(AT41/AT$344,0)</f>
        <v>117352</v>
      </c>
      <c r="AU51" s="9">
        <f t="shared" si="63"/>
        <v>105468</v>
      </c>
      <c r="AV51" s="9">
        <f t="shared" si="63"/>
        <v>101983</v>
      </c>
      <c r="AW51" s="9">
        <f t="shared" si="63"/>
        <v>104383</v>
      </c>
      <c r="AX51" s="9">
        <f t="shared" si="63"/>
        <v>108472</v>
      </c>
      <c r="AY51" s="9">
        <f t="shared" si="63"/>
        <v>93549</v>
      </c>
    </row>
    <row r="52" spans="1:51">
      <c r="A52" s="14"/>
      <c r="B52" s="3" t="s">
        <v>21</v>
      </c>
      <c r="C52" s="3" t="s">
        <v>9</v>
      </c>
      <c r="D52" s="4">
        <f t="shared" ref="D52:AQ52" si="64">D42/D344</f>
        <v>183808.3</v>
      </c>
      <c r="E52" s="4">
        <f t="shared" ref="E52" si="65">E42/E344</f>
        <v>209984.2</v>
      </c>
      <c r="F52" s="4">
        <f t="shared" si="64"/>
        <v>215882.45454545456</v>
      </c>
      <c r="G52" s="4">
        <f t="shared" si="64"/>
        <v>209448.16666666666</v>
      </c>
      <c r="H52" s="4">
        <f t="shared" si="64"/>
        <v>182123.86666666667</v>
      </c>
      <c r="I52" s="4">
        <f t="shared" si="64"/>
        <v>232081.93333333332</v>
      </c>
      <c r="J52" s="4">
        <f t="shared" si="64"/>
        <v>257933.46666666667</v>
      </c>
      <c r="K52" s="4">
        <f t="shared" si="64"/>
        <v>278702.93333333335</v>
      </c>
      <c r="L52" s="4">
        <f t="shared" si="64"/>
        <v>315205.86666666664</v>
      </c>
      <c r="M52" s="4">
        <f t="shared" si="64"/>
        <v>304297.46666666667</v>
      </c>
      <c r="N52" s="4">
        <f t="shared" si="64"/>
        <v>311087.13333333336</v>
      </c>
      <c r="O52" s="4">
        <f t="shared" si="64"/>
        <v>318596.26666666666</v>
      </c>
      <c r="P52" s="4">
        <f t="shared" si="64"/>
        <v>310437.46666666667</v>
      </c>
      <c r="Q52" s="4">
        <f t="shared" si="64"/>
        <v>318722.53333333333</v>
      </c>
      <c r="R52" s="4">
        <f t="shared" si="64"/>
        <v>325123</v>
      </c>
      <c r="S52" s="4">
        <f t="shared" si="64"/>
        <v>360848.2</v>
      </c>
      <c r="T52" s="4">
        <f t="shared" si="64"/>
        <v>377599.93333333335</v>
      </c>
      <c r="U52" s="4">
        <f t="shared" si="64"/>
        <v>386830.06666666665</v>
      </c>
      <c r="V52" s="4">
        <f t="shared" si="64"/>
        <v>389819.46666666667</v>
      </c>
      <c r="W52" s="4">
        <f t="shared" si="64"/>
        <v>358556.6</v>
      </c>
      <c r="X52" s="4">
        <f t="shared" si="64"/>
        <v>350324.8</v>
      </c>
      <c r="Y52" s="4">
        <f t="shared" si="64"/>
        <v>378251.66666666669</v>
      </c>
      <c r="Z52" s="4">
        <f t="shared" si="64"/>
        <v>409571.625</v>
      </c>
      <c r="AA52" s="4">
        <f t="shared" si="64"/>
        <v>443573.6875</v>
      </c>
      <c r="AB52" s="4">
        <f t="shared" si="64"/>
        <v>518471.625</v>
      </c>
      <c r="AC52" s="4">
        <f t="shared" si="64"/>
        <v>452900.125</v>
      </c>
      <c r="AD52" s="4">
        <f t="shared" si="64"/>
        <v>424162.75</v>
      </c>
      <c r="AE52" s="4">
        <f t="shared" si="64"/>
        <v>451561.6875</v>
      </c>
      <c r="AF52" s="4">
        <f t="shared" si="64"/>
        <v>446727.625</v>
      </c>
      <c r="AG52" s="4">
        <f t="shared" si="64"/>
        <v>363152.6875</v>
      </c>
      <c r="AH52" s="4">
        <f t="shared" si="64"/>
        <v>241259.29411764705</v>
      </c>
      <c r="AI52" s="4">
        <f t="shared" si="64"/>
        <v>255117.55555555556</v>
      </c>
      <c r="AJ52" s="4">
        <f t="shared" si="64"/>
        <v>225864.83333333334</v>
      </c>
      <c r="AK52" s="4">
        <f t="shared" si="64"/>
        <v>212422</v>
      </c>
      <c r="AL52" s="4">
        <f t="shared" si="64"/>
        <v>186839.16666666666</v>
      </c>
      <c r="AM52" s="4">
        <f t="shared" si="64"/>
        <v>168265</v>
      </c>
      <c r="AN52" s="4">
        <f t="shared" si="64"/>
        <v>148736.52631578947</v>
      </c>
      <c r="AO52" s="4">
        <f t="shared" si="64"/>
        <v>122142.05263157895</v>
      </c>
      <c r="AP52" s="4">
        <f t="shared" si="64"/>
        <v>119070.36842105263</v>
      </c>
      <c r="AQ52" s="4">
        <f t="shared" si="64"/>
        <v>131466.89473684211</v>
      </c>
      <c r="AR52" s="4">
        <f t="shared" ref="AR52" si="66">AR42/AR344</f>
        <v>130632.63157894737</v>
      </c>
      <c r="AS52" s="4">
        <v>107712</v>
      </c>
      <c r="AT52" s="9">
        <f t="shared" ref="AT52" si="67">ROUND(AT42/AT$344,0)</f>
        <v>88347</v>
      </c>
      <c r="AU52" s="9">
        <f t="shared" ref="AU52:AV52" si="68">ROUND(AU42/AU$344,0)</f>
        <v>84237</v>
      </c>
      <c r="AV52" s="9">
        <f t="shared" si="68"/>
        <v>80528</v>
      </c>
      <c r="AW52" s="9">
        <f t="shared" ref="AW52:AX56" si="69">ROUND(AW42/AW$344,0)</f>
        <v>75102</v>
      </c>
      <c r="AX52" s="9">
        <f t="shared" si="69"/>
        <v>72129</v>
      </c>
      <c r="AY52" s="9">
        <f t="shared" ref="AY52" si="70">ROUND(AY42/AY$344,0)</f>
        <v>73065</v>
      </c>
    </row>
    <row r="53" spans="1:51">
      <c r="A53" s="14"/>
      <c r="C53" s="3" t="s">
        <v>11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AG53" s="4">
        <f t="shared" ref="AG53:AQ53" si="71">AG43/AG344</f>
        <v>125672.25</v>
      </c>
      <c r="AH53" s="4">
        <f t="shared" si="71"/>
        <v>180572.82352941178</v>
      </c>
      <c r="AI53" s="4">
        <f t="shared" si="71"/>
        <v>206618.5</v>
      </c>
      <c r="AJ53" s="4">
        <f t="shared" si="71"/>
        <v>258719.33333333334</v>
      </c>
      <c r="AK53" s="4">
        <f t="shared" si="71"/>
        <v>282049.22222222225</v>
      </c>
      <c r="AL53" s="4">
        <f t="shared" si="71"/>
        <v>286703.55555555556</v>
      </c>
      <c r="AM53" s="4">
        <f t="shared" si="71"/>
        <v>290758.61111111112</v>
      </c>
      <c r="AN53" s="4">
        <f t="shared" si="71"/>
        <v>279172.94736842107</v>
      </c>
      <c r="AO53" s="4">
        <f t="shared" si="71"/>
        <v>298699.15789473685</v>
      </c>
      <c r="AP53" s="4">
        <f t="shared" si="71"/>
        <v>323596</v>
      </c>
      <c r="AQ53" s="4">
        <f t="shared" si="71"/>
        <v>358301.10526315792</v>
      </c>
      <c r="AR53" s="4">
        <f t="shared" ref="AR53" si="72">AR43/AR344</f>
        <v>385062.15789473685</v>
      </c>
      <c r="AS53" s="4">
        <v>410404</v>
      </c>
      <c r="AT53" s="9">
        <f t="shared" ref="AT53" si="73">ROUND(AT43/AT$344,0)</f>
        <v>385374</v>
      </c>
      <c r="AU53" s="9">
        <f t="shared" ref="AU53:AV53" si="74">ROUND(AU43/AU$344,0)</f>
        <v>406906</v>
      </c>
      <c r="AV53" s="9">
        <f t="shared" si="74"/>
        <v>414790</v>
      </c>
      <c r="AW53" s="9">
        <f t="shared" si="69"/>
        <v>413001</v>
      </c>
      <c r="AX53" s="9">
        <f t="shared" si="69"/>
        <v>418890</v>
      </c>
      <c r="AY53" s="9">
        <f t="shared" ref="AY53" si="75">ROUND(AY43/AY$344,0)</f>
        <v>442625</v>
      </c>
    </row>
    <row r="54" spans="1:51">
      <c r="A54" s="14"/>
      <c r="C54" s="3" t="s">
        <v>26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AM54" s="4">
        <f t="shared" ref="AM54:AQ54" si="76">AM44/AM344</f>
        <v>6757.4444444444443</v>
      </c>
      <c r="AN54" s="4">
        <f t="shared" si="76"/>
        <v>6037.105263157895</v>
      </c>
      <c r="AO54" s="4">
        <f t="shared" si="76"/>
        <v>9213.9473684210534</v>
      </c>
      <c r="AP54" s="4">
        <f t="shared" si="76"/>
        <v>11438.578947368422</v>
      </c>
      <c r="AQ54" s="4">
        <f t="shared" si="76"/>
        <v>13788.736842105263</v>
      </c>
      <c r="AR54" s="4">
        <f t="shared" ref="AR54" si="77">AR44/AR344</f>
        <v>12683.21052631579</v>
      </c>
      <c r="AS54" s="4">
        <v>10708</v>
      </c>
      <c r="AT54" s="9">
        <f t="shared" ref="AT54" si="78">ROUND(AT44/AT$344,0)</f>
        <v>12624</v>
      </c>
      <c r="AU54" s="9">
        <f t="shared" ref="AU54:AV54" si="79">ROUND(AU44/AU$344,0)</f>
        <v>12275</v>
      </c>
      <c r="AV54" s="9">
        <f t="shared" si="79"/>
        <v>14712</v>
      </c>
      <c r="AW54" s="9">
        <f t="shared" si="69"/>
        <v>23817</v>
      </c>
      <c r="AX54" s="9">
        <f t="shared" si="69"/>
        <v>24818</v>
      </c>
      <c r="AY54" s="9">
        <f t="shared" ref="AY54" si="80">ROUND(AY44/AY$344,0)</f>
        <v>16246</v>
      </c>
    </row>
    <row r="55" spans="1:51">
      <c r="A55" s="14"/>
      <c r="C55" s="3" t="s">
        <v>24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AM55" s="4">
        <f t="shared" ref="AM55:AQ55" si="81">AM45/AM344</f>
        <v>42322.777777777781</v>
      </c>
      <c r="AN55" s="4">
        <f t="shared" si="81"/>
        <v>45196.947368421053</v>
      </c>
      <c r="AO55" s="4">
        <f t="shared" si="81"/>
        <v>43895.473684210527</v>
      </c>
      <c r="AP55" s="4">
        <f t="shared" si="81"/>
        <v>50224.26315789474</v>
      </c>
      <c r="AQ55" s="4">
        <f t="shared" si="81"/>
        <v>55747.368421052633</v>
      </c>
      <c r="AR55" s="4">
        <f t="shared" ref="AR55" si="82">AR45/AR344</f>
        <v>62470.789473684214</v>
      </c>
      <c r="AS55" s="4">
        <v>60502</v>
      </c>
      <c r="AT55" s="9">
        <f t="shared" ref="AT55" si="83">ROUND(AT45/AT$344,0)</f>
        <v>61699</v>
      </c>
      <c r="AU55" s="9">
        <f t="shared" ref="AU55:AV55" si="84">ROUND(AU45/AU$344,0)</f>
        <v>60444</v>
      </c>
      <c r="AV55" s="9">
        <f t="shared" si="84"/>
        <v>63399</v>
      </c>
      <c r="AW55" s="9">
        <f t="shared" si="69"/>
        <v>67668</v>
      </c>
      <c r="AX55" s="9">
        <f t="shared" si="69"/>
        <v>72053</v>
      </c>
      <c r="AY55" s="9">
        <f t="shared" ref="AY55" si="85">ROUND(AY45/AY$344,0)</f>
        <v>73784</v>
      </c>
    </row>
    <row r="56" spans="1:51">
      <c r="A56" s="14"/>
      <c r="C56" s="3" t="s">
        <v>10</v>
      </c>
      <c r="D56" s="4">
        <f t="shared" ref="D56:AQ56" si="86">D46/D344</f>
        <v>14254.7</v>
      </c>
      <c r="E56" s="4">
        <f t="shared" ref="E56" si="87">E46/E344</f>
        <v>15956.9</v>
      </c>
      <c r="F56" s="4">
        <f t="shared" si="86"/>
        <v>18564.272727272728</v>
      </c>
      <c r="G56" s="4">
        <f t="shared" si="86"/>
        <v>31761.083333333332</v>
      </c>
      <c r="H56" s="4">
        <f t="shared" si="86"/>
        <v>30101.4</v>
      </c>
      <c r="I56" s="4">
        <f t="shared" si="86"/>
        <v>32172.333333333332</v>
      </c>
      <c r="J56" s="4">
        <f t="shared" si="86"/>
        <v>35734.6</v>
      </c>
      <c r="K56" s="4">
        <f t="shared" si="86"/>
        <v>37213.666666666664</v>
      </c>
      <c r="L56" s="4">
        <f t="shared" si="86"/>
        <v>32330.933333333334</v>
      </c>
      <c r="M56" s="4">
        <f t="shared" si="86"/>
        <v>37538.333333333336</v>
      </c>
      <c r="N56" s="4">
        <f t="shared" si="86"/>
        <v>35869.866666666669</v>
      </c>
      <c r="O56" s="4">
        <f t="shared" si="86"/>
        <v>36159.599999999999</v>
      </c>
      <c r="P56" s="4">
        <f t="shared" si="86"/>
        <v>41704.73333333333</v>
      </c>
      <c r="Q56" s="4">
        <f t="shared" si="86"/>
        <v>34441.933333333334</v>
      </c>
      <c r="R56" s="4">
        <f t="shared" si="86"/>
        <v>38707.73333333333</v>
      </c>
      <c r="S56" s="4">
        <f t="shared" si="86"/>
        <v>38687</v>
      </c>
      <c r="T56" s="4">
        <f t="shared" si="86"/>
        <v>42624.800000000003</v>
      </c>
      <c r="U56" s="4">
        <f t="shared" si="86"/>
        <v>48769.933333333334</v>
      </c>
      <c r="V56" s="4">
        <f t="shared" si="86"/>
        <v>48763.866666666669</v>
      </c>
      <c r="W56" s="4">
        <f t="shared" si="86"/>
        <v>50194.133333333331</v>
      </c>
      <c r="X56" s="4">
        <f t="shared" si="86"/>
        <v>57891.933333333334</v>
      </c>
      <c r="Y56" s="4">
        <f t="shared" si="86"/>
        <v>50657.8</v>
      </c>
      <c r="Z56" s="4">
        <f t="shared" si="86"/>
        <v>49835.5</v>
      </c>
      <c r="AA56" s="4">
        <f t="shared" si="86"/>
        <v>49723.125</v>
      </c>
      <c r="AB56" s="4">
        <f t="shared" si="86"/>
        <v>63288.0625</v>
      </c>
      <c r="AC56" s="4">
        <f t="shared" si="86"/>
        <v>61671.375</v>
      </c>
      <c r="AD56" s="4">
        <f t="shared" si="86"/>
        <v>66644.9375</v>
      </c>
      <c r="AE56" s="4">
        <f t="shared" si="86"/>
        <v>64800.375</v>
      </c>
      <c r="AF56" s="4">
        <f t="shared" si="86"/>
        <v>106278.5625</v>
      </c>
      <c r="AG56" s="4">
        <f t="shared" si="86"/>
        <v>44306.5625</v>
      </c>
      <c r="AH56" s="4">
        <f t="shared" si="86"/>
        <v>45401.882352941175</v>
      </c>
      <c r="AI56" s="4">
        <f t="shared" si="86"/>
        <v>39708.944444444445</v>
      </c>
      <c r="AJ56" s="4">
        <f t="shared" si="86"/>
        <v>46347.111111111109</v>
      </c>
      <c r="AK56" s="4">
        <f t="shared" si="86"/>
        <v>47516.222222222219</v>
      </c>
      <c r="AL56" s="4">
        <f t="shared" si="86"/>
        <v>58271.388888888891</v>
      </c>
      <c r="AM56" s="4">
        <f t="shared" si="86"/>
        <v>12574.611111111111</v>
      </c>
      <c r="AN56" s="4">
        <f t="shared" si="86"/>
        <v>12548.947368421053</v>
      </c>
      <c r="AO56" s="4">
        <f t="shared" si="86"/>
        <v>15807.157894736842</v>
      </c>
      <c r="AP56" s="4">
        <f t="shared" si="86"/>
        <v>9974.6315789473683</v>
      </c>
      <c r="AQ56" s="4">
        <f t="shared" si="86"/>
        <v>10740.526315789473</v>
      </c>
      <c r="AR56" s="4">
        <f t="shared" ref="AR56" si="88">AR46/AR344</f>
        <v>9161.3684210526317</v>
      </c>
      <c r="AS56" s="4">
        <v>8276</v>
      </c>
      <c r="AT56" s="9">
        <f t="shared" ref="AT56" si="89">ROUND(AT46/AT$344,0)</f>
        <v>7195</v>
      </c>
      <c r="AU56" s="9">
        <f t="shared" ref="AU56:AV56" si="90">ROUND(AU46/AU$344,0)</f>
        <v>8894</v>
      </c>
      <c r="AV56" s="9">
        <f t="shared" si="90"/>
        <v>8153</v>
      </c>
      <c r="AW56" s="9">
        <f t="shared" si="69"/>
        <v>8827</v>
      </c>
      <c r="AX56" s="9">
        <f t="shared" si="69"/>
        <v>10642</v>
      </c>
      <c r="AY56" s="9">
        <f t="shared" ref="AY56" si="91">ROUND(AY46/AY$344,0)</f>
        <v>8713</v>
      </c>
    </row>
    <row r="57" spans="1:51">
      <c r="A57" s="14"/>
      <c r="C57" s="3" t="s">
        <v>17</v>
      </c>
      <c r="D57" s="4">
        <f t="shared" ref="D57:AQ57" si="92">D47/D344</f>
        <v>437886.5</v>
      </c>
      <c r="E57" s="4">
        <f t="shared" ref="E57" si="93">E47/E344</f>
        <v>479449</v>
      </c>
      <c r="F57" s="4">
        <f t="shared" si="92"/>
        <v>493022.18181818182</v>
      </c>
      <c r="G57" s="4">
        <f t="shared" si="92"/>
        <v>527592.75</v>
      </c>
      <c r="H57" s="4">
        <f t="shared" si="92"/>
        <v>499509</v>
      </c>
      <c r="I57" s="4">
        <f t="shared" si="92"/>
        <v>574849.4</v>
      </c>
      <c r="J57" s="4">
        <f t="shared" si="92"/>
        <v>624861.33333333337</v>
      </c>
      <c r="K57" s="4">
        <f t="shared" si="92"/>
        <v>644580.1333333333</v>
      </c>
      <c r="L57" s="4">
        <f t="shared" si="92"/>
        <v>666309.73333333328</v>
      </c>
      <c r="M57" s="4">
        <f t="shared" si="92"/>
        <v>678389.26666666672</v>
      </c>
      <c r="N57" s="4">
        <f t="shared" si="92"/>
        <v>665003.26666666672</v>
      </c>
      <c r="O57" s="4">
        <f t="shared" si="92"/>
        <v>659927.33333333337</v>
      </c>
      <c r="P57" s="4">
        <f t="shared" si="92"/>
        <v>775947.2</v>
      </c>
      <c r="Q57" s="4">
        <f t="shared" si="92"/>
        <v>666640.80000000005</v>
      </c>
      <c r="R57" s="4">
        <f t="shared" si="92"/>
        <v>680181.8666666667</v>
      </c>
      <c r="S57" s="4">
        <f t="shared" si="92"/>
        <v>712562.6</v>
      </c>
      <c r="T57" s="4">
        <f t="shared" si="92"/>
        <v>715414.93333333335</v>
      </c>
      <c r="U57" s="4">
        <f t="shared" si="92"/>
        <v>722819.8666666667</v>
      </c>
      <c r="V57" s="4">
        <f t="shared" si="92"/>
        <v>717620.93333333335</v>
      </c>
      <c r="W57" s="4">
        <f t="shared" si="92"/>
        <v>685915.2</v>
      </c>
      <c r="X57" s="4">
        <f t="shared" si="92"/>
        <v>695276.2</v>
      </c>
      <c r="Y57" s="4">
        <f t="shared" si="92"/>
        <v>725917.66666666663</v>
      </c>
      <c r="Z57" s="4">
        <f t="shared" si="92"/>
        <v>753867.75</v>
      </c>
      <c r="AA57" s="4">
        <f t="shared" si="92"/>
        <v>761837</v>
      </c>
      <c r="AB57" s="4">
        <f t="shared" si="92"/>
        <v>852848.8125</v>
      </c>
      <c r="AC57" s="4">
        <f t="shared" si="92"/>
        <v>773032</v>
      </c>
      <c r="AD57" s="4">
        <f t="shared" si="92"/>
        <v>748066.1875</v>
      </c>
      <c r="AE57" s="4">
        <f t="shared" si="92"/>
        <v>758591.5</v>
      </c>
      <c r="AF57" s="4">
        <f t="shared" si="92"/>
        <v>792087.8125</v>
      </c>
      <c r="AG57" s="4">
        <f t="shared" si="92"/>
        <v>744957.4375</v>
      </c>
      <c r="AH57" s="4">
        <f t="shared" si="92"/>
        <v>694331.23529411759</v>
      </c>
      <c r="AI57" s="4">
        <f t="shared" si="92"/>
        <v>701922.11111111112</v>
      </c>
      <c r="AJ57" s="4">
        <f t="shared" si="92"/>
        <v>737919.77777777775</v>
      </c>
      <c r="AK57" s="4">
        <f t="shared" si="92"/>
        <v>740219.5555555555</v>
      </c>
      <c r="AL57" s="4">
        <f t="shared" si="92"/>
        <v>761997.77777777775</v>
      </c>
      <c r="AM57" s="4">
        <f t="shared" si="92"/>
        <v>708929.66666666663</v>
      </c>
      <c r="AN57" s="4">
        <f t="shared" si="92"/>
        <v>664754.89473684214</v>
      </c>
      <c r="AO57" s="4">
        <f t="shared" si="92"/>
        <v>657422.42105263157</v>
      </c>
      <c r="AP57" s="4">
        <f t="shared" si="92"/>
        <v>681681.42105263157</v>
      </c>
      <c r="AQ57" s="4">
        <f t="shared" si="92"/>
        <v>722731</v>
      </c>
      <c r="AR57" s="4">
        <f t="shared" ref="AR57" si="94">AR47/AR344</f>
        <v>741721</v>
      </c>
      <c r="AS57" s="4">
        <v>720763</v>
      </c>
      <c r="AT57" s="9">
        <f t="shared" ref="AT57:AY57" si="95">SUM(AT51:AT56)</f>
        <v>672591</v>
      </c>
      <c r="AU57" s="9">
        <f t="shared" si="95"/>
        <v>678224</v>
      </c>
      <c r="AV57" s="9">
        <f t="shared" si="95"/>
        <v>683565</v>
      </c>
      <c r="AW57" s="9">
        <f t="shared" si="95"/>
        <v>692798</v>
      </c>
      <c r="AX57" s="9">
        <f t="shared" si="95"/>
        <v>707004</v>
      </c>
      <c r="AY57" s="9">
        <f t="shared" si="95"/>
        <v>707982</v>
      </c>
    </row>
    <row r="58" spans="1:51">
      <c r="A58" s="14"/>
      <c r="C58" s="10" t="s">
        <v>12</v>
      </c>
      <c r="D58" s="8">
        <f t="shared" ref="D58:AQ58" si="96">D57/D327*100</f>
        <v>1.9444165682365167</v>
      </c>
      <c r="E58" s="8">
        <f t="shared" ref="E58" si="97">E57/E327*100</f>
        <v>1.9263954291959307</v>
      </c>
      <c r="F58" s="8">
        <f t="shared" si="96"/>
        <v>1.852719682424723</v>
      </c>
      <c r="G58" s="8">
        <f t="shared" si="96"/>
        <v>1.8940740563455283</v>
      </c>
      <c r="H58" s="8">
        <f t="shared" si="96"/>
        <v>1.6322890066358711</v>
      </c>
      <c r="I58" s="8">
        <f t="shared" si="96"/>
        <v>1.747043626399827</v>
      </c>
      <c r="J58" s="8">
        <f t="shared" si="96"/>
        <v>1.870245445760325</v>
      </c>
      <c r="K58" s="8">
        <f t="shared" si="96"/>
        <v>1.8149080980693788</v>
      </c>
      <c r="L58" s="8">
        <f t="shared" si="96"/>
        <v>1.8325381113587502</v>
      </c>
      <c r="M58" s="8">
        <f t="shared" si="96"/>
        <v>1.7199885207204639</v>
      </c>
      <c r="N58" s="8">
        <f t="shared" si="96"/>
        <v>1.6121663381580751</v>
      </c>
      <c r="O58" s="8">
        <f t="shared" si="96"/>
        <v>1.5283233231954507</v>
      </c>
      <c r="P58" s="8">
        <f t="shared" si="96"/>
        <v>1.6094629920596428</v>
      </c>
      <c r="Q58" s="8">
        <f t="shared" si="96"/>
        <v>1.422355228849187</v>
      </c>
      <c r="R58" s="8">
        <f t="shared" si="96"/>
        <v>1.4212566383025007</v>
      </c>
      <c r="S58" s="8">
        <f t="shared" si="96"/>
        <v>1.4382882549386315</v>
      </c>
      <c r="T58" s="8">
        <f t="shared" si="96"/>
        <v>1.3912640659147371</v>
      </c>
      <c r="U58" s="8">
        <f t="shared" si="96"/>
        <v>1.3069821172693024</v>
      </c>
      <c r="V58" s="8">
        <f t="shared" si="96"/>
        <v>1.2376301787945634</v>
      </c>
      <c r="W58" s="8">
        <f t="shared" si="96"/>
        <v>1.2150821920848363</v>
      </c>
      <c r="X58" s="8">
        <f t="shared" si="96"/>
        <v>1.137564408083992</v>
      </c>
      <c r="Y58" s="8">
        <f t="shared" si="96"/>
        <v>1.1786131249806606</v>
      </c>
      <c r="Z58" s="8">
        <f t="shared" si="96"/>
        <v>1.2638480975017952</v>
      </c>
      <c r="AA58" s="8">
        <f t="shared" si="96"/>
        <v>1.1898083755319986</v>
      </c>
      <c r="AB58" s="8">
        <f t="shared" si="96"/>
        <v>1.3608015393106561</v>
      </c>
      <c r="AC58" s="8">
        <f t="shared" si="96"/>
        <v>1.2143429919837132</v>
      </c>
      <c r="AD58" s="8">
        <f t="shared" si="96"/>
        <v>1.1761279565959766</v>
      </c>
      <c r="AE58" s="8">
        <f t="shared" si="96"/>
        <v>1.1659785286744255</v>
      </c>
      <c r="AF58" s="8">
        <f t="shared" si="96"/>
        <v>1.1902583805513003</v>
      </c>
      <c r="AG58" s="8">
        <f t="shared" si="96"/>
        <v>1.1322805104926417</v>
      </c>
      <c r="AH58" s="8">
        <f t="shared" si="96"/>
        <v>0.90184435648725181</v>
      </c>
      <c r="AI58" s="8">
        <f t="shared" si="96"/>
        <v>1.037102673744873</v>
      </c>
      <c r="AJ58" s="8">
        <f t="shared" si="96"/>
        <v>1.0743905477468323</v>
      </c>
      <c r="AK58" s="8">
        <f t="shared" si="96"/>
        <v>1.0337589324000664</v>
      </c>
      <c r="AL58" s="8">
        <f t="shared" si="96"/>
        <v>0.99962669343886013</v>
      </c>
      <c r="AM58" s="8">
        <f t="shared" si="96"/>
        <v>0.96584105471460435</v>
      </c>
      <c r="AN58" s="8">
        <f t="shared" si="96"/>
        <v>0.87796191149728497</v>
      </c>
      <c r="AO58" s="8">
        <f t="shared" si="96"/>
        <v>0.92110975172181719</v>
      </c>
      <c r="AP58" s="8">
        <f t="shared" si="96"/>
        <v>0.87089815695046802</v>
      </c>
      <c r="AQ58" s="8">
        <f t="shared" si="96"/>
        <v>0.87612907716927335</v>
      </c>
      <c r="AR58" s="8">
        <f t="shared" ref="AR58:AW58" si="98">AR57/AR327*100</f>
        <v>0.93622813202927668</v>
      </c>
      <c r="AS58" s="8">
        <f t="shared" si="98"/>
        <v>0.9222399645545144</v>
      </c>
      <c r="AT58" s="40">
        <f t="shared" si="98"/>
        <v>0.86845551032597701</v>
      </c>
      <c r="AU58" s="40">
        <f t="shared" ref="AU58:AV58" si="99">AU57/AU327*100</f>
        <v>0.87537873221986751</v>
      </c>
      <c r="AV58" s="40">
        <f t="shared" si="99"/>
        <v>0.86950499024237227</v>
      </c>
      <c r="AW58" s="40">
        <f t="shared" si="98"/>
        <v>0.88076439474127688</v>
      </c>
      <c r="AX58" s="40">
        <f t="shared" ref="AX58:AY58" si="100">AX57/AX327*100</f>
        <v>0.84531072521340511</v>
      </c>
      <c r="AY58" s="40">
        <f t="shared" si="100"/>
        <v>0.83391217693523978</v>
      </c>
    </row>
    <row r="59" spans="1:51">
      <c r="A59" s="1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AQ59" s="4"/>
      <c r="AR59" s="4"/>
      <c r="AS59" s="4"/>
      <c r="AT59" s="9"/>
      <c r="AU59" s="9"/>
      <c r="AV59" s="9"/>
      <c r="AW59" s="9"/>
      <c r="AX59" s="9"/>
      <c r="AY59" s="9"/>
    </row>
    <row r="60" spans="1:51" s="22" customFormat="1">
      <c r="A60" s="21" t="s">
        <v>0</v>
      </c>
      <c r="B60" s="22" t="s">
        <v>4</v>
      </c>
      <c r="C60" s="22" t="s">
        <v>8</v>
      </c>
      <c r="D60" s="23">
        <v>1387089</v>
      </c>
      <c r="E60" s="23">
        <v>1717204</v>
      </c>
      <c r="F60" s="23">
        <v>1751012</v>
      </c>
      <c r="G60" s="23">
        <v>1858414</v>
      </c>
      <c r="H60" s="23">
        <v>1765015</v>
      </c>
      <c r="I60" s="23">
        <v>1815327</v>
      </c>
      <c r="J60" s="23">
        <v>1823083</v>
      </c>
      <c r="K60" s="23">
        <v>1799879</v>
      </c>
      <c r="L60" s="23">
        <f>881896+817423</f>
        <v>1699319</v>
      </c>
      <c r="M60" s="23">
        <f>889384+765100</f>
        <v>1654484</v>
      </c>
      <c r="N60" s="23">
        <f>876447+741218</f>
        <v>1617665</v>
      </c>
      <c r="O60" s="23">
        <f>921520+742466</f>
        <v>1663986</v>
      </c>
      <c r="P60" s="23">
        <f>924008+1005583</f>
        <v>1929591</v>
      </c>
      <c r="Q60" s="23">
        <f>945689+730271</f>
        <v>1675960</v>
      </c>
      <c r="R60" s="23">
        <f>944938+727869</f>
        <v>1672807</v>
      </c>
      <c r="S60" s="23">
        <f>943718+732825</f>
        <v>1676543</v>
      </c>
      <c r="T60" s="23">
        <f>911876+685735</f>
        <v>1597611</v>
      </c>
      <c r="U60" s="23">
        <f>952519+649104</f>
        <v>1601623</v>
      </c>
      <c r="V60" s="23">
        <f>919698+617340</f>
        <v>1537038</v>
      </c>
      <c r="W60" s="23">
        <f>919918+578426</f>
        <v>1498344</v>
      </c>
      <c r="X60" s="23">
        <f>927038+572322</f>
        <v>1499360</v>
      </c>
      <c r="Y60" s="23">
        <f>935120+598315</f>
        <v>1533435</v>
      </c>
      <c r="Z60" s="23">
        <f>992967+661485</f>
        <v>1654452</v>
      </c>
      <c r="AA60" s="23">
        <f>931658+617749</f>
        <v>1549407</v>
      </c>
      <c r="AB60" s="23">
        <f>895171+509304</f>
        <v>1404475</v>
      </c>
      <c r="AC60" s="23">
        <f>879780+459751</f>
        <v>1339531</v>
      </c>
      <c r="AD60" s="23">
        <v>1218611</v>
      </c>
      <c r="AE60" s="23">
        <v>1094493</v>
      </c>
      <c r="AF60" s="23">
        <v>1213005</v>
      </c>
      <c r="AG60" s="23">
        <v>1021812</v>
      </c>
      <c r="AH60" s="23">
        <v>924762</v>
      </c>
      <c r="AI60" s="23">
        <v>722237</v>
      </c>
      <c r="AJ60" s="23">
        <v>698498</v>
      </c>
      <c r="AK60" s="23">
        <v>738879</v>
      </c>
      <c r="AL60" s="23">
        <v>867216</v>
      </c>
      <c r="AM60" s="23">
        <v>649480</v>
      </c>
      <c r="AN60" s="23">
        <v>595528</v>
      </c>
      <c r="AO60" s="23">
        <v>599477</v>
      </c>
      <c r="AP60" s="23">
        <v>536665</v>
      </c>
      <c r="AQ60" s="23">
        <v>482719</v>
      </c>
      <c r="AR60" s="23">
        <v>536131</v>
      </c>
      <c r="AS60" s="23">
        <v>489323</v>
      </c>
      <c r="AT60" s="23">
        <v>451566</v>
      </c>
      <c r="AU60" s="23">
        <v>406511</v>
      </c>
      <c r="AV60" s="23">
        <v>389854</v>
      </c>
      <c r="AW60" s="23">
        <v>343734</v>
      </c>
      <c r="AX60" s="23">
        <v>368539</v>
      </c>
      <c r="AY60" s="23">
        <v>383592</v>
      </c>
    </row>
    <row r="61" spans="1:51">
      <c r="A61" s="14"/>
      <c r="B61" s="3" t="s">
        <v>21</v>
      </c>
      <c r="C61" s="3" t="s">
        <v>9</v>
      </c>
      <c r="D61" s="4">
        <v>954724</v>
      </c>
      <c r="E61" s="4">
        <v>1337227</v>
      </c>
      <c r="F61" s="4">
        <v>1246775</v>
      </c>
      <c r="G61" s="4">
        <v>1225451</v>
      </c>
      <c r="H61" s="4">
        <v>1020195</v>
      </c>
      <c r="I61" s="4">
        <v>1258414</v>
      </c>
      <c r="J61" s="4">
        <v>1321725</v>
      </c>
      <c r="K61" s="4">
        <f>238392+1179382</f>
        <v>1417774</v>
      </c>
      <c r="L61" s="4">
        <f>254001+1363176</f>
        <v>1617177</v>
      </c>
      <c r="M61" s="4">
        <f>244144+1260659</f>
        <v>1504803</v>
      </c>
      <c r="N61" s="4">
        <f>257859+1320328</f>
        <v>1578187</v>
      </c>
      <c r="O61" s="4">
        <f>269322+1365784</f>
        <v>1635106</v>
      </c>
      <c r="P61" s="4">
        <f>276087+1394955</f>
        <v>1671042</v>
      </c>
      <c r="Q61" s="4">
        <f>292898+1360141</f>
        <v>1653039</v>
      </c>
      <c r="R61" s="4">
        <f>308143+1316633</f>
        <v>1624776</v>
      </c>
      <c r="S61" s="4">
        <f>324461+1442065</f>
        <v>1766526</v>
      </c>
      <c r="T61" s="4">
        <f>363014+1615253</f>
        <v>1978267</v>
      </c>
      <c r="U61" s="4">
        <f>334780+1672138</f>
        <v>2006918</v>
      </c>
      <c r="V61" s="4">
        <f>354879+1684307</f>
        <v>2039186</v>
      </c>
      <c r="W61" s="4">
        <f>378869+1529969</f>
        <v>1908838</v>
      </c>
      <c r="X61" s="4">
        <f>362081+1476603</f>
        <v>1838684</v>
      </c>
      <c r="Y61" s="4">
        <f>411599+1714477</f>
        <v>2126076</v>
      </c>
      <c r="Z61" s="4">
        <f>363753+1984873</f>
        <v>2348626</v>
      </c>
      <c r="AA61" s="4">
        <f>375977+2101353</f>
        <v>2477330</v>
      </c>
      <c r="AB61" s="4">
        <f>372064+2355576</f>
        <v>2727640</v>
      </c>
      <c r="AC61" s="4">
        <f>375269+2210064</f>
        <v>2585333</v>
      </c>
      <c r="AD61" s="4">
        <v>2358792</v>
      </c>
      <c r="AE61" s="4">
        <v>2479164</v>
      </c>
      <c r="AF61" s="4">
        <v>3060577</v>
      </c>
      <c r="AG61" s="4">
        <v>2516785</v>
      </c>
      <c r="AH61" s="4">
        <v>1798411</v>
      </c>
      <c r="AI61" s="4">
        <v>1171302</v>
      </c>
      <c r="AJ61" s="4">
        <v>995355</v>
      </c>
      <c r="AK61" s="4">
        <v>1008464</v>
      </c>
      <c r="AL61" s="4">
        <v>746045</v>
      </c>
      <c r="AM61" s="4">
        <v>684827</v>
      </c>
      <c r="AN61" s="4">
        <v>589990</v>
      </c>
      <c r="AO61" s="4">
        <v>515285</v>
      </c>
      <c r="AP61" s="4">
        <v>444006</v>
      </c>
      <c r="AQ61" s="4">
        <v>463097</v>
      </c>
      <c r="AR61" s="4">
        <v>643090</v>
      </c>
      <c r="AS61" s="4">
        <v>609941</v>
      </c>
      <c r="AT61" s="4">
        <v>497089</v>
      </c>
      <c r="AU61" s="38">
        <v>398844</v>
      </c>
      <c r="AV61" s="38">
        <v>399169</v>
      </c>
      <c r="AW61" s="38">
        <v>400680</v>
      </c>
      <c r="AX61" s="42">
        <v>361168</v>
      </c>
      <c r="AY61" s="42">
        <v>402532</v>
      </c>
    </row>
    <row r="62" spans="1:51">
      <c r="A62" s="14"/>
      <c r="C62" s="3" t="s">
        <v>11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AG62" s="4">
        <v>482872</v>
      </c>
      <c r="AH62" s="4">
        <v>803180</v>
      </c>
      <c r="AI62" s="4">
        <v>1076633</v>
      </c>
      <c r="AJ62" s="4">
        <v>1233846</v>
      </c>
      <c r="AK62" s="4">
        <v>1377279</v>
      </c>
      <c r="AL62" s="4">
        <v>1489193</v>
      </c>
      <c r="AM62" s="4">
        <v>1505414</v>
      </c>
      <c r="AN62" s="4">
        <v>1420202</v>
      </c>
      <c r="AO62" s="4">
        <v>1481477</v>
      </c>
      <c r="AP62" s="4">
        <v>1563318</v>
      </c>
      <c r="AQ62" s="4">
        <v>1711883</v>
      </c>
      <c r="AR62" s="4">
        <v>2476143</v>
      </c>
      <c r="AS62" s="4">
        <v>2824234</v>
      </c>
      <c r="AT62" s="4">
        <v>2563295</v>
      </c>
      <c r="AU62" s="38">
        <v>2676398</v>
      </c>
      <c r="AV62" s="38">
        <v>2649451</v>
      </c>
      <c r="AW62" s="38">
        <v>2594609</v>
      </c>
      <c r="AX62" s="42">
        <v>2559428</v>
      </c>
      <c r="AY62" s="42">
        <v>2769535</v>
      </c>
    </row>
    <row r="63" spans="1:51">
      <c r="A63" s="14"/>
      <c r="C63" s="3" t="s">
        <v>26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AM63" s="4">
        <v>24688</v>
      </c>
      <c r="AN63" s="4">
        <v>45211</v>
      </c>
      <c r="AO63" s="4">
        <v>27735</v>
      </c>
      <c r="AP63" s="4">
        <v>29231</v>
      </c>
      <c r="AQ63" s="4">
        <v>21091</v>
      </c>
      <c r="AR63" s="4">
        <v>75168</v>
      </c>
      <c r="AS63" s="4">
        <v>74730</v>
      </c>
      <c r="AT63" s="4">
        <v>53571</v>
      </c>
      <c r="AU63" s="38">
        <v>65374</v>
      </c>
      <c r="AV63" s="38">
        <v>55588</v>
      </c>
      <c r="AW63" s="38">
        <v>134474</v>
      </c>
      <c r="AX63" s="42">
        <v>134647</v>
      </c>
      <c r="AY63" s="42">
        <v>158108</v>
      </c>
    </row>
    <row r="64" spans="1:51">
      <c r="A64" s="14"/>
      <c r="C64" s="3" t="s">
        <v>24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AM64" s="4">
        <v>269337</v>
      </c>
      <c r="AN64" s="4">
        <v>242693</v>
      </c>
      <c r="AO64" s="4">
        <v>248426</v>
      </c>
      <c r="AP64" s="4">
        <v>263997</v>
      </c>
      <c r="AQ64" s="4">
        <v>287402</v>
      </c>
      <c r="AR64" s="4">
        <v>353719</v>
      </c>
      <c r="AS64" s="4">
        <v>407543</v>
      </c>
      <c r="AT64" s="4">
        <v>376561</v>
      </c>
      <c r="AU64" s="38">
        <v>391910</v>
      </c>
      <c r="AV64" s="38">
        <v>405320</v>
      </c>
      <c r="AW64" s="38">
        <v>418532</v>
      </c>
      <c r="AX64" s="42">
        <v>415224</v>
      </c>
      <c r="AY64" s="42">
        <v>484424</v>
      </c>
    </row>
    <row r="65" spans="1:51">
      <c r="A65" s="14"/>
      <c r="C65" s="3" t="s">
        <v>10</v>
      </c>
      <c r="D65" s="4">
        <v>64025</v>
      </c>
      <c r="E65" s="4">
        <v>67206</v>
      </c>
      <c r="F65" s="4">
        <v>98448</v>
      </c>
      <c r="G65" s="4">
        <v>80957</v>
      </c>
      <c r="H65" s="4">
        <v>57560</v>
      </c>
      <c r="I65" s="4">
        <v>52121</v>
      </c>
      <c r="J65" s="4">
        <v>85805</v>
      </c>
      <c r="K65" s="4">
        <v>121130</v>
      </c>
      <c r="L65" s="4">
        <v>95254</v>
      </c>
      <c r="M65" s="4">
        <v>114791</v>
      </c>
      <c r="N65" s="4">
        <v>102517</v>
      </c>
      <c r="O65" s="4">
        <v>109697</v>
      </c>
      <c r="P65" s="4">
        <v>150930</v>
      </c>
      <c r="Q65" s="4">
        <v>146016</v>
      </c>
      <c r="R65" s="4">
        <v>144650</v>
      </c>
      <c r="S65" s="4">
        <v>104959</v>
      </c>
      <c r="T65" s="4">
        <v>110623</v>
      </c>
      <c r="U65" s="4">
        <v>111301</v>
      </c>
      <c r="V65" s="4">
        <v>114286</v>
      </c>
      <c r="W65" s="4">
        <v>138740</v>
      </c>
      <c r="X65" s="4">
        <v>163131</v>
      </c>
      <c r="Y65" s="4">
        <v>250445</v>
      </c>
      <c r="Z65" s="4">
        <v>256694</v>
      </c>
      <c r="AA65" s="4">
        <v>204857</v>
      </c>
      <c r="AB65" s="4">
        <v>241575</v>
      </c>
      <c r="AC65" s="4">
        <v>212800</v>
      </c>
      <c r="AD65" s="4">
        <v>314145</v>
      </c>
      <c r="AE65" s="4">
        <v>360208</v>
      </c>
      <c r="AF65" s="4">
        <v>475851</v>
      </c>
      <c r="AG65" s="4">
        <v>276530</v>
      </c>
      <c r="AH65" s="4">
        <v>339826</v>
      </c>
      <c r="AI65" s="4">
        <v>262696</v>
      </c>
      <c r="AJ65" s="4">
        <v>314473</v>
      </c>
      <c r="AK65" s="4">
        <v>338239</v>
      </c>
      <c r="AL65" s="4">
        <v>383818</v>
      </c>
      <c r="AM65" s="4">
        <v>74318</v>
      </c>
      <c r="AN65" s="4">
        <v>92942</v>
      </c>
      <c r="AO65" s="4">
        <v>50159</v>
      </c>
      <c r="AP65" s="4">
        <v>46734</v>
      </c>
      <c r="AQ65" s="4">
        <v>32100</v>
      </c>
      <c r="AR65" s="4">
        <v>38979</v>
      </c>
      <c r="AS65" s="4">
        <v>43335</v>
      </c>
      <c r="AT65" s="4">
        <v>834542</v>
      </c>
      <c r="AU65" s="38">
        <v>45559</v>
      </c>
      <c r="AV65" s="38">
        <v>43937</v>
      </c>
      <c r="AW65" s="38">
        <v>22884</v>
      </c>
      <c r="AX65" s="42">
        <v>26192</v>
      </c>
      <c r="AY65" s="42">
        <v>26026</v>
      </c>
    </row>
    <row r="66" spans="1:51">
      <c r="A66" s="14"/>
      <c r="C66" s="3" t="s">
        <v>17</v>
      </c>
      <c r="D66" s="4">
        <v>2405838</v>
      </c>
      <c r="E66" s="4">
        <v>3121637</v>
      </c>
      <c r="F66" s="4">
        <v>3096235</v>
      </c>
      <c r="G66" s="4">
        <v>3164822</v>
      </c>
      <c r="H66" s="4">
        <v>2842770</v>
      </c>
      <c r="I66" s="4">
        <v>3125862</v>
      </c>
      <c r="J66" s="4">
        <v>3230613</v>
      </c>
      <c r="K66" s="4">
        <v>3338783</v>
      </c>
      <c r="L66" s="4">
        <v>3411750</v>
      </c>
      <c r="M66" s="4">
        <v>3274078</v>
      </c>
      <c r="N66" s="4">
        <v>3298369</v>
      </c>
      <c r="O66" s="4">
        <v>3408789</v>
      </c>
      <c r="P66" s="4">
        <v>3751563</v>
      </c>
      <c r="Q66" s="4">
        <v>3475015</v>
      </c>
      <c r="R66" s="4">
        <v>3442233</v>
      </c>
      <c r="S66" s="4">
        <v>3548028</v>
      </c>
      <c r="T66" s="4">
        <v>3686501</v>
      </c>
      <c r="U66" s="4">
        <v>3719842</v>
      </c>
      <c r="V66" s="4">
        <v>3690510</v>
      </c>
      <c r="W66" s="4">
        <v>3545922</v>
      </c>
      <c r="X66" s="4">
        <v>3501175</v>
      </c>
      <c r="Y66" s="4">
        <v>3909956</v>
      </c>
      <c r="Z66" s="4">
        <v>4259772</v>
      </c>
      <c r="AA66" s="4">
        <v>4231594</v>
      </c>
      <c r="AB66" s="4">
        <v>4373690</v>
      </c>
      <c r="AC66" s="4">
        <v>4137664</v>
      </c>
      <c r="AD66" s="4">
        <v>3891548</v>
      </c>
      <c r="AE66" s="4">
        <v>3933865</v>
      </c>
      <c r="AF66" s="4">
        <v>4749433</v>
      </c>
      <c r="AG66" s="4">
        <v>4297999</v>
      </c>
      <c r="AH66" s="4">
        <v>3866179</v>
      </c>
      <c r="AI66" s="4">
        <v>3232868</v>
      </c>
      <c r="AJ66" s="4">
        <v>3242172</v>
      </c>
      <c r="AK66" s="4">
        <v>3462861</v>
      </c>
      <c r="AL66" s="4">
        <v>3486272</v>
      </c>
      <c r="AM66" s="4">
        <v>3208064</v>
      </c>
      <c r="AN66" s="4">
        <v>2986566</v>
      </c>
      <c r="AO66" s="4">
        <v>2922559</v>
      </c>
      <c r="AP66" s="4">
        <v>2883951</v>
      </c>
      <c r="AQ66" s="4">
        <v>2998292</v>
      </c>
      <c r="AR66" s="4">
        <v>4123230</v>
      </c>
      <c r="AS66" s="4">
        <v>4449106</v>
      </c>
      <c r="AT66" s="9">
        <f t="shared" ref="AT66:AY66" si="101">SUM(AT60:AT65)</f>
        <v>4776624</v>
      </c>
      <c r="AU66" s="9">
        <f t="shared" si="101"/>
        <v>3984596</v>
      </c>
      <c r="AV66" s="9">
        <f t="shared" si="101"/>
        <v>3943319</v>
      </c>
      <c r="AW66" s="9">
        <f t="shared" si="101"/>
        <v>3914913</v>
      </c>
      <c r="AX66" s="9">
        <f t="shared" si="101"/>
        <v>3865198</v>
      </c>
      <c r="AY66" s="9">
        <f t="shared" si="101"/>
        <v>4224217</v>
      </c>
    </row>
    <row r="67" spans="1:51">
      <c r="A67" s="14"/>
      <c r="C67" s="10" t="s">
        <v>12</v>
      </c>
      <c r="D67" s="8">
        <f t="shared" ref="D67:AQ67" si="102">D66/D310*100</f>
        <v>1.9123244334575979</v>
      </c>
      <c r="E67" s="8">
        <f t="shared" ref="E67" si="103">E66/E310*100</f>
        <v>1.9967103537824853</v>
      </c>
      <c r="F67" s="8">
        <f t="shared" si="102"/>
        <v>1.9061261050506046</v>
      </c>
      <c r="G67" s="8">
        <f t="shared" si="102"/>
        <v>1.5957514823928038</v>
      </c>
      <c r="H67" s="8">
        <f t="shared" si="102"/>
        <v>1.6807730289486764</v>
      </c>
      <c r="I67" s="8">
        <f t="shared" si="102"/>
        <v>1.6033681861601878</v>
      </c>
      <c r="J67" s="8">
        <f t="shared" si="102"/>
        <v>1.5566407496292198</v>
      </c>
      <c r="K67" s="8">
        <f t="shared" si="102"/>
        <v>1.6040579162981714</v>
      </c>
      <c r="L67" s="8">
        <f t="shared" si="102"/>
        <v>1.5945396494043949</v>
      </c>
      <c r="M67" s="8">
        <f t="shared" si="102"/>
        <v>1.3899608339680096</v>
      </c>
      <c r="N67" s="8">
        <f t="shared" si="102"/>
        <v>1.4035235785496689</v>
      </c>
      <c r="O67" s="8">
        <f t="shared" si="102"/>
        <v>1.415560534608044</v>
      </c>
      <c r="P67" s="8">
        <f t="shared" si="102"/>
        <v>1.3654248013626895</v>
      </c>
      <c r="Q67" s="8">
        <f t="shared" si="102"/>
        <v>1.2940327707040915</v>
      </c>
      <c r="R67" s="8">
        <f t="shared" si="102"/>
        <v>1.2099384449805204</v>
      </c>
      <c r="S67" s="8">
        <f t="shared" si="102"/>
        <v>1.284561091422266</v>
      </c>
      <c r="T67" s="8">
        <f t="shared" si="102"/>
        <v>1.2047187354405009</v>
      </c>
      <c r="U67" s="8">
        <f t="shared" si="102"/>
        <v>1.1561455347449017</v>
      </c>
      <c r="V67" s="8">
        <f t="shared" si="102"/>
        <v>1.0332946918657362</v>
      </c>
      <c r="W67" s="8">
        <f t="shared" si="102"/>
        <v>1.0341155155420716</v>
      </c>
      <c r="X67" s="8">
        <f t="shared" si="102"/>
        <v>0.99747827531959932</v>
      </c>
      <c r="Y67" s="8">
        <f t="shared" si="102"/>
        <v>1.0783889143946519</v>
      </c>
      <c r="Z67" s="8">
        <f t="shared" si="102"/>
        <v>1.2587631112846485</v>
      </c>
      <c r="AA67" s="8">
        <f t="shared" si="102"/>
        <v>1.0974327351049127</v>
      </c>
      <c r="AB67" s="8">
        <f t="shared" si="102"/>
        <v>1.12539094604356</v>
      </c>
      <c r="AC67" s="8">
        <f t="shared" si="102"/>
        <v>1.094215115963495</v>
      </c>
      <c r="AD67" s="8">
        <f t="shared" si="102"/>
        <v>1.0211148062541666</v>
      </c>
      <c r="AE67" s="8">
        <f t="shared" si="102"/>
        <v>1.0086430083031142</v>
      </c>
      <c r="AF67" s="8">
        <f t="shared" si="102"/>
        <v>1.0055864220869266</v>
      </c>
      <c r="AG67" s="8">
        <f t="shared" si="102"/>
        <v>0.84108930013320737</v>
      </c>
      <c r="AH67" s="8">
        <f t="shared" si="102"/>
        <v>0.72251925589591071</v>
      </c>
      <c r="AI67" s="8">
        <f t="shared" si="102"/>
        <v>0.74487871174415843</v>
      </c>
      <c r="AJ67" s="8">
        <f t="shared" si="102"/>
        <v>0.72335654292218876</v>
      </c>
      <c r="AK67" s="8">
        <f t="shared" si="102"/>
        <v>0.74490139967342583</v>
      </c>
      <c r="AL67" s="8">
        <f t="shared" si="102"/>
        <v>0.69310175568579824</v>
      </c>
      <c r="AM67" s="8">
        <f t="shared" si="102"/>
        <v>0.69142377792773413</v>
      </c>
      <c r="AN67" s="8">
        <f t="shared" si="102"/>
        <v>0.66224389175998166</v>
      </c>
      <c r="AO67" s="8">
        <f t="shared" si="102"/>
        <v>0.65131757090608056</v>
      </c>
      <c r="AP67" s="8">
        <f t="shared" si="102"/>
        <v>0.67304481750197553</v>
      </c>
      <c r="AQ67" s="8">
        <f t="shared" si="102"/>
        <v>0.62180943977022451</v>
      </c>
      <c r="AR67" s="8">
        <f t="shared" ref="AR67:AW67" si="104">AR66/AR310*100</f>
        <v>0.69094812278350382</v>
      </c>
      <c r="AS67" s="8">
        <f t="shared" si="104"/>
        <v>0.716146805406221</v>
      </c>
      <c r="AT67" s="40">
        <f t="shared" si="104"/>
        <v>0.80890849706621604</v>
      </c>
      <c r="AU67" s="40">
        <f t="shared" ref="AU67:AV67" si="105">AU66/AU310*100</f>
        <v>0.66186749078282647</v>
      </c>
      <c r="AV67" s="40">
        <f t="shared" si="105"/>
        <v>0.63741210863963227</v>
      </c>
      <c r="AW67" s="40">
        <f t="shared" si="104"/>
        <v>0.62570393356711995</v>
      </c>
      <c r="AX67" s="40">
        <f t="shared" ref="AX67:AY67" si="106">AX66/AX310*100</f>
        <v>0.59666163996624255</v>
      </c>
      <c r="AY67" s="40">
        <f t="shared" si="106"/>
        <v>0.63725408215474566</v>
      </c>
    </row>
    <row r="68" spans="1:51">
      <c r="A68" s="1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AP68" s="4"/>
      <c r="AQ68" s="4"/>
      <c r="AR68" s="4"/>
      <c r="AS68" s="4"/>
      <c r="AT68" s="4"/>
      <c r="AU68" s="4"/>
      <c r="AV68" s="4"/>
      <c r="AW68" s="4"/>
      <c r="AX68" s="4"/>
      <c r="AY68" s="4"/>
    </row>
    <row r="69" spans="1:51" s="2" customFormat="1">
      <c r="A69" s="15"/>
      <c r="C69" s="3"/>
      <c r="D69" s="1">
        <f t="shared" ref="D69:O69" si="107">D2</f>
        <v>1975</v>
      </c>
      <c r="E69" s="1">
        <f t="shared" ref="E69" si="108">E2</f>
        <v>76</v>
      </c>
      <c r="F69" s="1">
        <f t="shared" si="107"/>
        <v>77</v>
      </c>
      <c r="G69" s="1">
        <f t="shared" si="107"/>
        <v>78</v>
      </c>
      <c r="H69" s="1">
        <f t="shared" si="107"/>
        <v>79</v>
      </c>
      <c r="I69" s="1">
        <f t="shared" si="107"/>
        <v>80</v>
      </c>
      <c r="J69" s="1">
        <f t="shared" si="107"/>
        <v>81</v>
      </c>
      <c r="K69" s="1">
        <f t="shared" si="107"/>
        <v>82</v>
      </c>
      <c r="L69" s="1">
        <f t="shared" si="107"/>
        <v>83</v>
      </c>
      <c r="M69" s="1">
        <f t="shared" si="107"/>
        <v>84</v>
      </c>
      <c r="N69" s="1">
        <f t="shared" si="107"/>
        <v>85</v>
      </c>
      <c r="O69" s="1">
        <f t="shared" si="107"/>
        <v>86</v>
      </c>
      <c r="P69" s="1">
        <f t="shared" ref="P69:AQ69" si="109">P2</f>
        <v>87</v>
      </c>
      <c r="Q69" s="1">
        <f t="shared" si="109"/>
        <v>88</v>
      </c>
      <c r="R69" s="1">
        <f t="shared" si="109"/>
        <v>89</v>
      </c>
      <c r="S69" s="1" t="str">
        <f t="shared" si="109"/>
        <v>90</v>
      </c>
      <c r="T69" s="1" t="str">
        <f t="shared" si="109"/>
        <v>91</v>
      </c>
      <c r="U69" s="1" t="str">
        <f t="shared" si="109"/>
        <v>92</v>
      </c>
      <c r="V69" s="1" t="str">
        <f t="shared" si="109"/>
        <v>93</v>
      </c>
      <c r="W69" s="1" t="str">
        <f t="shared" si="109"/>
        <v>94</v>
      </c>
      <c r="X69" s="1" t="str">
        <f t="shared" si="109"/>
        <v>95</v>
      </c>
      <c r="Y69" s="1" t="str">
        <f t="shared" si="109"/>
        <v>96</v>
      </c>
      <c r="Z69" s="1" t="str">
        <f t="shared" si="109"/>
        <v>97</v>
      </c>
      <c r="AA69" s="1" t="str">
        <f t="shared" si="109"/>
        <v>98</v>
      </c>
      <c r="AB69" s="1" t="str">
        <f t="shared" si="109"/>
        <v>99</v>
      </c>
      <c r="AC69" s="1" t="str">
        <f t="shared" si="109"/>
        <v>2000</v>
      </c>
      <c r="AD69" s="1" t="str">
        <f t="shared" si="109"/>
        <v>01</v>
      </c>
      <c r="AE69" s="1" t="str">
        <f t="shared" si="109"/>
        <v>02</v>
      </c>
      <c r="AF69" s="1" t="str">
        <f t="shared" si="109"/>
        <v>03</v>
      </c>
      <c r="AG69" s="1" t="str">
        <f t="shared" si="109"/>
        <v>04</v>
      </c>
      <c r="AH69" s="1" t="str">
        <f t="shared" si="109"/>
        <v>05</v>
      </c>
      <c r="AI69" s="1" t="str">
        <f t="shared" si="109"/>
        <v>06</v>
      </c>
      <c r="AJ69" s="1" t="str">
        <f t="shared" si="109"/>
        <v>07</v>
      </c>
      <c r="AK69" s="1" t="str">
        <f t="shared" si="109"/>
        <v>08</v>
      </c>
      <c r="AL69" s="1" t="str">
        <f t="shared" si="109"/>
        <v>09</v>
      </c>
      <c r="AM69" s="1" t="str">
        <f t="shared" si="109"/>
        <v>10</v>
      </c>
      <c r="AN69" s="1" t="str">
        <f t="shared" si="109"/>
        <v>11</v>
      </c>
      <c r="AO69" s="1" t="str">
        <f t="shared" si="109"/>
        <v>12</v>
      </c>
      <c r="AP69" s="1" t="str">
        <f t="shared" si="109"/>
        <v>13</v>
      </c>
      <c r="AQ69" s="1" t="str">
        <f t="shared" si="109"/>
        <v>14</v>
      </c>
      <c r="AR69" s="1" t="str">
        <f t="shared" ref="AR69:AS69" si="110">AR2</f>
        <v>15</v>
      </c>
      <c r="AS69" s="1" t="str">
        <f t="shared" si="110"/>
        <v>16</v>
      </c>
      <c r="AT69" s="1" t="str">
        <f t="shared" ref="AT69" si="111">AT2</f>
        <v>17</v>
      </c>
      <c r="AU69" s="1">
        <v>18</v>
      </c>
      <c r="AV69" s="1">
        <v>19</v>
      </c>
      <c r="AW69" s="1">
        <v>20</v>
      </c>
      <c r="AX69" s="1">
        <v>21</v>
      </c>
      <c r="AY69" s="1">
        <v>22</v>
      </c>
    </row>
    <row r="70" spans="1:51">
      <c r="A70" s="14" t="s">
        <v>0</v>
      </c>
      <c r="B70" s="3" t="s">
        <v>29</v>
      </c>
      <c r="C70" s="3" t="s">
        <v>8</v>
      </c>
      <c r="D70" s="4">
        <f t="shared" ref="D70:AQ70" si="112">D60/D345</f>
        <v>77060.5</v>
      </c>
      <c r="E70" s="4">
        <f t="shared" ref="E70" si="113">E60/E345</f>
        <v>85860.2</v>
      </c>
      <c r="F70" s="4">
        <f t="shared" si="112"/>
        <v>97278.444444444438</v>
      </c>
      <c r="G70" s="4">
        <f t="shared" si="112"/>
        <v>109318.4705882353</v>
      </c>
      <c r="H70" s="4">
        <f t="shared" si="112"/>
        <v>126072.5</v>
      </c>
      <c r="I70" s="4">
        <f t="shared" si="112"/>
        <v>129666.21428571429</v>
      </c>
      <c r="J70" s="4">
        <f t="shared" si="112"/>
        <v>130220.21428571429</v>
      </c>
      <c r="K70" s="4">
        <f t="shared" si="112"/>
        <v>128562.78571428571</v>
      </c>
      <c r="L70" s="4">
        <f t="shared" si="112"/>
        <v>121379.92857142857</v>
      </c>
      <c r="M70" s="4">
        <f t="shared" si="112"/>
        <v>118177.42857142857</v>
      </c>
      <c r="N70" s="4">
        <f t="shared" si="112"/>
        <v>115547.5</v>
      </c>
      <c r="O70" s="4">
        <f t="shared" si="112"/>
        <v>118856.14285714286</v>
      </c>
      <c r="P70" s="4">
        <f t="shared" si="112"/>
        <v>137827.92857142858</v>
      </c>
      <c r="Q70" s="4">
        <f t="shared" si="112"/>
        <v>119711.42857142857</v>
      </c>
      <c r="R70" s="4">
        <f t="shared" si="112"/>
        <v>119486.21428571429</v>
      </c>
      <c r="S70" s="4">
        <f t="shared" si="112"/>
        <v>119753.07142857143</v>
      </c>
      <c r="T70" s="4">
        <f t="shared" si="112"/>
        <v>114115.07142857143</v>
      </c>
      <c r="U70" s="4">
        <f t="shared" si="112"/>
        <v>114401.64285714286</v>
      </c>
      <c r="V70" s="4">
        <f t="shared" si="112"/>
        <v>109788.42857142857</v>
      </c>
      <c r="W70" s="4">
        <f t="shared" si="112"/>
        <v>107024.57142857143</v>
      </c>
      <c r="X70" s="4">
        <f t="shared" si="112"/>
        <v>107097.14285714286</v>
      </c>
      <c r="Y70" s="4">
        <f t="shared" si="112"/>
        <v>102229</v>
      </c>
      <c r="Z70" s="4">
        <f t="shared" si="112"/>
        <v>110296.8</v>
      </c>
      <c r="AA70" s="4">
        <f t="shared" si="112"/>
        <v>103293.8</v>
      </c>
      <c r="AB70" s="4">
        <f t="shared" si="112"/>
        <v>93631.666666666672</v>
      </c>
      <c r="AC70" s="4">
        <f t="shared" si="112"/>
        <v>89302.066666666666</v>
      </c>
      <c r="AD70" s="4">
        <f t="shared" si="112"/>
        <v>81240.733333333337</v>
      </c>
      <c r="AE70" s="4">
        <f t="shared" si="112"/>
        <v>72966.2</v>
      </c>
      <c r="AF70" s="4">
        <f t="shared" si="112"/>
        <v>63842.368421052633</v>
      </c>
      <c r="AG70" s="4">
        <f t="shared" si="112"/>
        <v>53779.57894736842</v>
      </c>
      <c r="AH70" s="4">
        <f t="shared" si="112"/>
        <v>51375.666666666664</v>
      </c>
      <c r="AI70" s="4">
        <f t="shared" si="112"/>
        <v>42484.529411764706</v>
      </c>
      <c r="AJ70" s="4">
        <f t="shared" si="112"/>
        <v>41088.117647058825</v>
      </c>
      <c r="AK70" s="4">
        <f t="shared" si="112"/>
        <v>43463.470588235294</v>
      </c>
      <c r="AL70" s="4">
        <f t="shared" si="112"/>
        <v>51012.705882352944</v>
      </c>
      <c r="AM70" s="4">
        <f t="shared" si="112"/>
        <v>38204.705882352944</v>
      </c>
      <c r="AN70" s="4">
        <f t="shared" si="112"/>
        <v>37220.5</v>
      </c>
      <c r="AO70" s="4">
        <f t="shared" si="112"/>
        <v>37467.3125</v>
      </c>
      <c r="AP70" s="4">
        <f t="shared" si="112"/>
        <v>33541.5625</v>
      </c>
      <c r="AQ70" s="4">
        <f t="shared" si="112"/>
        <v>30169.9375</v>
      </c>
      <c r="AR70" s="4">
        <f t="shared" ref="AR70" si="114">AR60/AR345</f>
        <v>26806.55</v>
      </c>
      <c r="AS70" s="4">
        <v>23301</v>
      </c>
      <c r="AT70" s="9">
        <f t="shared" ref="AT70:AY70" si="115">ROUND(AT60/AT$345,0)</f>
        <v>22578</v>
      </c>
      <c r="AU70" s="9">
        <f t="shared" si="115"/>
        <v>20326</v>
      </c>
      <c r="AV70" s="9">
        <f t="shared" si="115"/>
        <v>19493</v>
      </c>
      <c r="AW70" s="9">
        <f t="shared" si="115"/>
        <v>17187</v>
      </c>
      <c r="AX70" s="9">
        <f t="shared" si="115"/>
        <v>18427</v>
      </c>
      <c r="AY70" s="9">
        <f t="shared" si="115"/>
        <v>19180</v>
      </c>
    </row>
    <row r="71" spans="1:51">
      <c r="A71" s="14"/>
      <c r="B71" s="3" t="s">
        <v>21</v>
      </c>
      <c r="C71" s="3" t="s">
        <v>9</v>
      </c>
      <c r="D71" s="4">
        <f t="shared" ref="D71:AQ71" si="116">D61/D345</f>
        <v>53040.222222222219</v>
      </c>
      <c r="E71" s="4">
        <f t="shared" ref="E71" si="117">E61/E345</f>
        <v>66861.350000000006</v>
      </c>
      <c r="F71" s="4">
        <f t="shared" si="116"/>
        <v>69265.277777777781</v>
      </c>
      <c r="G71" s="4">
        <f t="shared" si="116"/>
        <v>72085.352941176476</v>
      </c>
      <c r="H71" s="4">
        <f t="shared" si="116"/>
        <v>72871.071428571435</v>
      </c>
      <c r="I71" s="4">
        <f t="shared" si="116"/>
        <v>89886.71428571429</v>
      </c>
      <c r="J71" s="4">
        <f t="shared" si="116"/>
        <v>94408.928571428565</v>
      </c>
      <c r="K71" s="4">
        <f t="shared" si="116"/>
        <v>101269.57142857143</v>
      </c>
      <c r="L71" s="4">
        <f t="shared" si="116"/>
        <v>115512.64285714286</v>
      </c>
      <c r="M71" s="4">
        <f t="shared" si="116"/>
        <v>107485.92857142857</v>
      </c>
      <c r="N71" s="4">
        <f t="shared" si="116"/>
        <v>112727.64285714286</v>
      </c>
      <c r="O71" s="4">
        <f t="shared" si="116"/>
        <v>116793.28571428571</v>
      </c>
      <c r="P71" s="4">
        <f t="shared" si="116"/>
        <v>119360.14285714286</v>
      </c>
      <c r="Q71" s="4">
        <f t="shared" si="116"/>
        <v>118074.21428571429</v>
      </c>
      <c r="R71" s="4">
        <f t="shared" si="116"/>
        <v>116055.42857142857</v>
      </c>
      <c r="S71" s="4">
        <f t="shared" si="116"/>
        <v>126180.42857142857</v>
      </c>
      <c r="T71" s="4">
        <f t="shared" si="116"/>
        <v>141304.78571428571</v>
      </c>
      <c r="U71" s="4">
        <f t="shared" si="116"/>
        <v>143351.28571428571</v>
      </c>
      <c r="V71" s="4">
        <f t="shared" si="116"/>
        <v>145656.14285714287</v>
      </c>
      <c r="W71" s="4">
        <f t="shared" si="116"/>
        <v>136345.57142857142</v>
      </c>
      <c r="X71" s="4">
        <f t="shared" si="116"/>
        <v>131334.57142857142</v>
      </c>
      <c r="Y71" s="4">
        <f t="shared" si="116"/>
        <v>141738.4</v>
      </c>
      <c r="Z71" s="4">
        <f t="shared" si="116"/>
        <v>156575.06666666668</v>
      </c>
      <c r="AA71" s="4">
        <f t="shared" si="116"/>
        <v>165155.33333333334</v>
      </c>
      <c r="AB71" s="4">
        <f t="shared" si="116"/>
        <v>181842.66666666666</v>
      </c>
      <c r="AC71" s="4">
        <f t="shared" si="116"/>
        <v>172355.53333333333</v>
      </c>
      <c r="AD71" s="4">
        <f t="shared" si="116"/>
        <v>157252.79999999999</v>
      </c>
      <c r="AE71" s="4">
        <f t="shared" si="116"/>
        <v>165277.6</v>
      </c>
      <c r="AF71" s="4">
        <f t="shared" si="116"/>
        <v>161083</v>
      </c>
      <c r="AG71" s="4">
        <f t="shared" si="116"/>
        <v>132462.36842105264</v>
      </c>
      <c r="AH71" s="4">
        <f t="shared" si="116"/>
        <v>99911.722222222219</v>
      </c>
      <c r="AI71" s="4">
        <f t="shared" si="116"/>
        <v>68900.117647058825</v>
      </c>
      <c r="AJ71" s="4">
        <f t="shared" si="116"/>
        <v>58550.294117647056</v>
      </c>
      <c r="AK71" s="4">
        <f t="shared" si="116"/>
        <v>59321.411764705881</v>
      </c>
      <c r="AL71" s="4">
        <f t="shared" si="116"/>
        <v>43885</v>
      </c>
      <c r="AM71" s="4">
        <f t="shared" si="116"/>
        <v>40283.941176470587</v>
      </c>
      <c r="AN71" s="4">
        <f t="shared" si="116"/>
        <v>36874.375</v>
      </c>
      <c r="AO71" s="4">
        <f t="shared" si="116"/>
        <v>32205.3125</v>
      </c>
      <c r="AP71" s="4">
        <f t="shared" si="116"/>
        <v>27750.375</v>
      </c>
      <c r="AQ71" s="4">
        <f t="shared" si="116"/>
        <v>28943.5625</v>
      </c>
      <c r="AR71" s="4">
        <f t="shared" ref="AR71" si="118">AR61/AR345</f>
        <v>32154.5</v>
      </c>
      <c r="AS71" s="4">
        <v>29045</v>
      </c>
      <c r="AT71" s="9">
        <f t="shared" ref="AT71" si="119">ROUND(AT61/AT$345,0)</f>
        <v>24854</v>
      </c>
      <c r="AU71" s="9">
        <f t="shared" ref="AU71:AV71" si="120">ROUND(AU61/AU$345,0)</f>
        <v>19942</v>
      </c>
      <c r="AV71" s="9">
        <f t="shared" si="120"/>
        <v>19958</v>
      </c>
      <c r="AW71" s="9">
        <f t="shared" ref="AW71:AX75" si="121">ROUND(AW61/AW$345,0)</f>
        <v>20034</v>
      </c>
      <c r="AX71" s="9">
        <f t="shared" si="121"/>
        <v>18058</v>
      </c>
      <c r="AY71" s="9">
        <f t="shared" ref="AY71" si="122">ROUND(AY61/AY$345,0)</f>
        <v>20127</v>
      </c>
    </row>
    <row r="72" spans="1:51">
      <c r="A72" s="14"/>
      <c r="C72" s="3" t="s">
        <v>11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AG72" s="4">
        <f t="shared" ref="AG72:AQ72" si="123">AG62/AG345</f>
        <v>25414.315789473683</v>
      </c>
      <c r="AH72" s="4">
        <f t="shared" si="123"/>
        <v>44621.111111111109</v>
      </c>
      <c r="AI72" s="4">
        <f t="shared" si="123"/>
        <v>63331.352941176468</v>
      </c>
      <c r="AJ72" s="4">
        <f t="shared" si="123"/>
        <v>72579.176470588238</v>
      </c>
      <c r="AK72" s="4">
        <f t="shared" si="123"/>
        <v>81016.411764705888</v>
      </c>
      <c r="AL72" s="4">
        <f t="shared" si="123"/>
        <v>87599.588235294112</v>
      </c>
      <c r="AM72" s="4">
        <f t="shared" si="123"/>
        <v>88553.76470588235</v>
      </c>
      <c r="AN72" s="4">
        <f t="shared" si="123"/>
        <v>88762.625</v>
      </c>
      <c r="AO72" s="4">
        <f t="shared" si="123"/>
        <v>92592.3125</v>
      </c>
      <c r="AP72" s="4">
        <f t="shared" si="123"/>
        <v>97707.375</v>
      </c>
      <c r="AQ72" s="4">
        <f t="shared" si="123"/>
        <v>106992.6875</v>
      </c>
      <c r="AR72" s="4">
        <f t="shared" ref="AR72" si="124">AR62/AR345</f>
        <v>123807.15</v>
      </c>
      <c r="AS72" s="4">
        <v>134487</v>
      </c>
      <c r="AT72" s="9">
        <f t="shared" ref="AT72" si="125">ROUND(AT62/AT$345,0)</f>
        <v>128165</v>
      </c>
      <c r="AU72" s="9">
        <f t="shared" ref="AU72:AV72" si="126">ROUND(AU62/AU$345,0)</f>
        <v>133820</v>
      </c>
      <c r="AV72" s="9">
        <f t="shared" si="126"/>
        <v>132473</v>
      </c>
      <c r="AW72" s="9">
        <f t="shared" si="121"/>
        <v>129730</v>
      </c>
      <c r="AX72" s="9">
        <f t="shared" si="121"/>
        <v>127971</v>
      </c>
      <c r="AY72" s="9">
        <f t="shared" ref="AY72" si="127">ROUND(AY62/AY$345,0)</f>
        <v>138477</v>
      </c>
    </row>
    <row r="73" spans="1:51">
      <c r="A73" s="14"/>
      <c r="C73" s="3" t="s">
        <v>26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AM73" s="4">
        <f t="shared" ref="AM73:AQ73" si="128">AM63/AM345</f>
        <v>1452.2352941176471</v>
      </c>
      <c r="AN73" s="4">
        <f t="shared" si="128"/>
        <v>2825.6875</v>
      </c>
      <c r="AO73" s="4">
        <f t="shared" si="128"/>
        <v>1733.4375</v>
      </c>
      <c r="AP73" s="4">
        <f t="shared" si="128"/>
        <v>1826.9375</v>
      </c>
      <c r="AQ73" s="4">
        <f t="shared" si="128"/>
        <v>1318.1875</v>
      </c>
      <c r="AR73" s="4">
        <f t="shared" ref="AR73" si="129">AR63/AR345</f>
        <v>3758.4</v>
      </c>
      <c r="AS73" s="4">
        <v>3559</v>
      </c>
      <c r="AT73" s="9">
        <f t="shared" ref="AT73" si="130">ROUND(AT63/AT$345,0)</f>
        <v>2679</v>
      </c>
      <c r="AU73" s="9">
        <f t="shared" ref="AU73:AV73" si="131">ROUND(AU63/AU$345,0)</f>
        <v>3269</v>
      </c>
      <c r="AV73" s="9">
        <f t="shared" si="131"/>
        <v>2779</v>
      </c>
      <c r="AW73" s="9">
        <f t="shared" si="121"/>
        <v>6724</v>
      </c>
      <c r="AX73" s="9">
        <f t="shared" si="121"/>
        <v>6732</v>
      </c>
      <c r="AY73" s="9">
        <f t="shared" ref="AY73" si="132">ROUND(AY63/AY$345,0)</f>
        <v>7905</v>
      </c>
    </row>
    <row r="74" spans="1:51">
      <c r="A74" s="14"/>
      <c r="C74" s="3" t="s">
        <v>24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AM74" s="4">
        <f t="shared" ref="AM74:AQ74" si="133">AM64/AM345</f>
        <v>15843.35294117647</v>
      </c>
      <c r="AN74" s="4">
        <f t="shared" si="133"/>
        <v>15168.3125</v>
      </c>
      <c r="AO74" s="4">
        <f t="shared" si="133"/>
        <v>15526.625</v>
      </c>
      <c r="AP74" s="4">
        <f t="shared" si="133"/>
        <v>16499.8125</v>
      </c>
      <c r="AQ74" s="4">
        <f t="shared" si="133"/>
        <v>17962.625</v>
      </c>
      <c r="AR74" s="4">
        <f t="shared" ref="AR74" si="134">AR64/AR345</f>
        <v>17685.95</v>
      </c>
      <c r="AS74" s="4">
        <v>19407</v>
      </c>
      <c r="AT74" s="9">
        <f t="shared" ref="AT74" si="135">ROUND(AT64/AT$345,0)</f>
        <v>18828</v>
      </c>
      <c r="AU74" s="9">
        <f t="shared" ref="AU74:AV74" si="136">ROUND(AU64/AU$345,0)</f>
        <v>19596</v>
      </c>
      <c r="AV74" s="9">
        <f t="shared" si="136"/>
        <v>20266</v>
      </c>
      <c r="AW74" s="9">
        <f t="shared" si="121"/>
        <v>20927</v>
      </c>
      <c r="AX74" s="9">
        <f t="shared" si="121"/>
        <v>20761</v>
      </c>
      <c r="AY74" s="9">
        <f t="shared" ref="AY74" si="137">ROUND(AY64/AY$345,0)</f>
        <v>24221</v>
      </c>
    </row>
    <row r="75" spans="1:51">
      <c r="A75" s="14"/>
      <c r="C75" s="3" t="s">
        <v>10</v>
      </c>
      <c r="D75" s="4">
        <f t="shared" ref="D75:AQ75" si="138">D65/D345</f>
        <v>3556.9444444444443</v>
      </c>
      <c r="E75" s="4">
        <f t="shared" ref="E75" si="139">E65/E345</f>
        <v>3360.3</v>
      </c>
      <c r="F75" s="4">
        <f t="shared" si="138"/>
        <v>5469.333333333333</v>
      </c>
      <c r="G75" s="4">
        <f t="shared" si="138"/>
        <v>4762.1764705882351</v>
      </c>
      <c r="H75" s="4">
        <f t="shared" si="138"/>
        <v>4111.4285714285716</v>
      </c>
      <c r="I75" s="4">
        <f t="shared" si="138"/>
        <v>3722.9285714285716</v>
      </c>
      <c r="J75" s="4">
        <f t="shared" si="138"/>
        <v>6128.9285714285716</v>
      </c>
      <c r="K75" s="4">
        <f t="shared" si="138"/>
        <v>8652.1428571428569</v>
      </c>
      <c r="L75" s="4">
        <f t="shared" si="138"/>
        <v>6803.8571428571431</v>
      </c>
      <c r="M75" s="4">
        <f t="shared" si="138"/>
        <v>8199.3571428571431</v>
      </c>
      <c r="N75" s="4">
        <f t="shared" si="138"/>
        <v>7322.6428571428569</v>
      </c>
      <c r="O75" s="4">
        <f t="shared" si="138"/>
        <v>7835.5</v>
      </c>
      <c r="P75" s="4">
        <f t="shared" si="138"/>
        <v>10780.714285714286</v>
      </c>
      <c r="Q75" s="4">
        <f t="shared" si="138"/>
        <v>10429.714285714286</v>
      </c>
      <c r="R75" s="4">
        <f t="shared" si="138"/>
        <v>10332.142857142857</v>
      </c>
      <c r="S75" s="4">
        <f t="shared" si="138"/>
        <v>7497.0714285714284</v>
      </c>
      <c r="T75" s="4">
        <f t="shared" si="138"/>
        <v>7901.6428571428569</v>
      </c>
      <c r="U75" s="4">
        <f t="shared" si="138"/>
        <v>7950.0714285714284</v>
      </c>
      <c r="V75" s="4">
        <f t="shared" si="138"/>
        <v>8163.2857142857147</v>
      </c>
      <c r="W75" s="4">
        <f t="shared" si="138"/>
        <v>9910</v>
      </c>
      <c r="X75" s="4">
        <f t="shared" si="138"/>
        <v>11652.214285714286</v>
      </c>
      <c r="Y75" s="4">
        <f t="shared" si="138"/>
        <v>16696.333333333332</v>
      </c>
      <c r="Z75" s="4">
        <f t="shared" si="138"/>
        <v>17112.933333333334</v>
      </c>
      <c r="AA75" s="4">
        <f t="shared" si="138"/>
        <v>13657.133333333333</v>
      </c>
      <c r="AB75" s="4">
        <f t="shared" si="138"/>
        <v>16105</v>
      </c>
      <c r="AC75" s="4">
        <f t="shared" si="138"/>
        <v>14186.666666666666</v>
      </c>
      <c r="AD75" s="4">
        <f t="shared" si="138"/>
        <v>20943</v>
      </c>
      <c r="AE75" s="4">
        <f t="shared" si="138"/>
        <v>24013.866666666665</v>
      </c>
      <c r="AF75" s="4">
        <f t="shared" si="138"/>
        <v>25044.78947368421</v>
      </c>
      <c r="AG75" s="4">
        <f t="shared" si="138"/>
        <v>14554.21052631579</v>
      </c>
      <c r="AH75" s="4">
        <f t="shared" si="138"/>
        <v>18879.222222222223</v>
      </c>
      <c r="AI75" s="4">
        <f t="shared" si="138"/>
        <v>15452.705882352941</v>
      </c>
      <c r="AJ75" s="4">
        <f t="shared" si="138"/>
        <v>18498.411764705881</v>
      </c>
      <c r="AK75" s="4">
        <f t="shared" si="138"/>
        <v>19896.411764705881</v>
      </c>
      <c r="AL75" s="4">
        <f t="shared" si="138"/>
        <v>22577.529411764706</v>
      </c>
      <c r="AM75" s="4">
        <f t="shared" si="138"/>
        <v>4371.6470588235297</v>
      </c>
      <c r="AN75" s="4">
        <f t="shared" si="138"/>
        <v>5808.875</v>
      </c>
      <c r="AO75" s="4">
        <f t="shared" si="138"/>
        <v>3134.9375</v>
      </c>
      <c r="AP75" s="4">
        <f t="shared" si="138"/>
        <v>2920.875</v>
      </c>
      <c r="AQ75" s="4">
        <f t="shared" si="138"/>
        <v>2006.25</v>
      </c>
      <c r="AR75" s="4">
        <f t="shared" ref="AR75" si="140">AR65/AR345</f>
        <v>1948.95</v>
      </c>
      <c r="AS75" s="4">
        <v>2064</v>
      </c>
      <c r="AT75" s="9">
        <f t="shared" ref="AT75" si="141">ROUND(AT65/AT$345,0)</f>
        <v>41727</v>
      </c>
      <c r="AU75" s="9">
        <f t="shared" ref="AU75:AV75" si="142">ROUND(AU65/AU$345,0)</f>
        <v>2278</v>
      </c>
      <c r="AV75" s="9">
        <f t="shared" si="142"/>
        <v>2197</v>
      </c>
      <c r="AW75" s="9">
        <f t="shared" si="121"/>
        <v>1144</v>
      </c>
      <c r="AX75" s="9">
        <f t="shared" si="121"/>
        <v>1310</v>
      </c>
      <c r="AY75" s="9">
        <f t="shared" ref="AY75" si="143">ROUND(AY65/AY$345,0)</f>
        <v>1301</v>
      </c>
    </row>
    <row r="76" spans="1:51">
      <c r="A76" s="14"/>
      <c r="C76" s="3" t="s">
        <v>17</v>
      </c>
      <c r="D76" s="4">
        <f t="shared" ref="D76:AQ76" si="144">D66/D345</f>
        <v>133657.66666666666</v>
      </c>
      <c r="E76" s="4">
        <f t="shared" ref="E76" si="145">E66/E345</f>
        <v>156081.85</v>
      </c>
      <c r="F76" s="4">
        <f t="shared" si="144"/>
        <v>172013.05555555556</v>
      </c>
      <c r="G76" s="4">
        <f t="shared" si="144"/>
        <v>186166</v>
      </c>
      <c r="H76" s="4">
        <f t="shared" si="144"/>
        <v>203055</v>
      </c>
      <c r="I76" s="4">
        <f t="shared" si="144"/>
        <v>223275.85714285713</v>
      </c>
      <c r="J76" s="4">
        <f t="shared" si="144"/>
        <v>230758.07142857142</v>
      </c>
      <c r="K76" s="4">
        <f t="shared" si="144"/>
        <v>238484.5</v>
      </c>
      <c r="L76" s="4">
        <f t="shared" si="144"/>
        <v>243696.42857142858</v>
      </c>
      <c r="M76" s="4">
        <f t="shared" si="144"/>
        <v>233862.71428571429</v>
      </c>
      <c r="N76" s="4">
        <f t="shared" si="144"/>
        <v>235597.78571428571</v>
      </c>
      <c r="O76" s="4">
        <f t="shared" si="144"/>
        <v>243484.92857142858</v>
      </c>
      <c r="P76" s="4">
        <f t="shared" si="144"/>
        <v>267968.78571428574</v>
      </c>
      <c r="Q76" s="4">
        <f t="shared" si="144"/>
        <v>248215.35714285713</v>
      </c>
      <c r="R76" s="4">
        <f t="shared" si="144"/>
        <v>245873.78571428571</v>
      </c>
      <c r="S76" s="4">
        <f t="shared" si="144"/>
        <v>253430.57142857142</v>
      </c>
      <c r="T76" s="4">
        <f t="shared" si="144"/>
        <v>263321.5</v>
      </c>
      <c r="U76" s="4">
        <f t="shared" si="144"/>
        <v>265703</v>
      </c>
      <c r="V76" s="4">
        <f t="shared" si="144"/>
        <v>263607.85714285716</v>
      </c>
      <c r="W76" s="4">
        <f t="shared" si="144"/>
        <v>253280.14285714287</v>
      </c>
      <c r="X76" s="4">
        <f t="shared" si="144"/>
        <v>250083.92857142858</v>
      </c>
      <c r="Y76" s="4">
        <f t="shared" si="144"/>
        <v>260663.73333333334</v>
      </c>
      <c r="Z76" s="4">
        <f t="shared" si="144"/>
        <v>283984.8</v>
      </c>
      <c r="AA76" s="4">
        <f t="shared" si="144"/>
        <v>282106.26666666666</v>
      </c>
      <c r="AB76" s="4">
        <f t="shared" si="144"/>
        <v>291579.33333333331</v>
      </c>
      <c r="AC76" s="4">
        <f t="shared" si="144"/>
        <v>275844.26666666666</v>
      </c>
      <c r="AD76" s="4">
        <f t="shared" si="144"/>
        <v>259436.53333333333</v>
      </c>
      <c r="AE76" s="4">
        <f t="shared" si="144"/>
        <v>262257.66666666669</v>
      </c>
      <c r="AF76" s="4">
        <f t="shared" si="144"/>
        <v>249970.15789473685</v>
      </c>
      <c r="AG76" s="4">
        <f t="shared" si="144"/>
        <v>226210.47368421053</v>
      </c>
      <c r="AH76" s="4">
        <f t="shared" si="144"/>
        <v>214787.72222222222</v>
      </c>
      <c r="AI76" s="4">
        <f t="shared" si="144"/>
        <v>190168.70588235295</v>
      </c>
      <c r="AJ76" s="4">
        <f t="shared" si="144"/>
        <v>190716</v>
      </c>
      <c r="AK76" s="4">
        <f t="shared" si="144"/>
        <v>203697.70588235295</v>
      </c>
      <c r="AL76" s="4">
        <f t="shared" si="144"/>
        <v>205074.82352941178</v>
      </c>
      <c r="AM76" s="4">
        <f t="shared" si="144"/>
        <v>188709.64705882352</v>
      </c>
      <c r="AN76" s="4">
        <f t="shared" si="144"/>
        <v>186660.375</v>
      </c>
      <c r="AO76" s="4">
        <f t="shared" si="144"/>
        <v>182659.9375</v>
      </c>
      <c r="AP76" s="4">
        <f t="shared" si="144"/>
        <v>180246.9375</v>
      </c>
      <c r="AQ76" s="4">
        <f t="shared" si="144"/>
        <v>187393.25</v>
      </c>
      <c r="AR76" s="4">
        <f t="shared" ref="AR76" si="146">AR66/AR345</f>
        <v>206161.5</v>
      </c>
      <c r="AS76" s="4">
        <v>211862</v>
      </c>
      <c r="AT76" s="9">
        <f t="shared" ref="AT76:AY76" si="147">SUM(AT70:AT75)</f>
        <v>238831</v>
      </c>
      <c r="AU76" s="9">
        <f t="shared" si="147"/>
        <v>199231</v>
      </c>
      <c r="AV76" s="9">
        <f t="shared" si="147"/>
        <v>197166</v>
      </c>
      <c r="AW76" s="9">
        <f t="shared" si="147"/>
        <v>195746</v>
      </c>
      <c r="AX76" s="9">
        <f t="shared" si="147"/>
        <v>193259</v>
      </c>
      <c r="AY76" s="9">
        <f t="shared" si="147"/>
        <v>211211</v>
      </c>
    </row>
    <row r="77" spans="1:51">
      <c r="A77" s="14"/>
      <c r="C77" s="10" t="s">
        <v>12</v>
      </c>
      <c r="D77" s="8">
        <f t="shared" ref="D77:AQ77" si="148">D76/D328*100</f>
        <v>1.9123244334575975</v>
      </c>
      <c r="E77" s="8">
        <f t="shared" ref="E77" si="149">E76/E328*100</f>
        <v>1.9967103537824853</v>
      </c>
      <c r="F77" s="8">
        <f t="shared" si="148"/>
        <v>1.9061261050506046</v>
      </c>
      <c r="G77" s="8">
        <f t="shared" si="148"/>
        <v>1.5957514823928038</v>
      </c>
      <c r="H77" s="8">
        <f t="shared" si="148"/>
        <v>1.6807730289486764</v>
      </c>
      <c r="I77" s="8">
        <f t="shared" si="148"/>
        <v>1.6033681861601878</v>
      </c>
      <c r="J77" s="8">
        <f t="shared" si="148"/>
        <v>1.5566407496292198</v>
      </c>
      <c r="K77" s="8">
        <f t="shared" si="148"/>
        <v>1.6040579162981714</v>
      </c>
      <c r="L77" s="8">
        <f t="shared" si="148"/>
        <v>1.5945396494043949</v>
      </c>
      <c r="M77" s="8">
        <f t="shared" si="148"/>
        <v>1.3899608339680096</v>
      </c>
      <c r="N77" s="8">
        <f t="shared" si="148"/>
        <v>1.4035235785496691</v>
      </c>
      <c r="O77" s="8">
        <f t="shared" si="148"/>
        <v>1.4155605346080442</v>
      </c>
      <c r="P77" s="8">
        <f t="shared" si="148"/>
        <v>1.3654248013626897</v>
      </c>
      <c r="Q77" s="8">
        <f t="shared" si="148"/>
        <v>1.2940327707040915</v>
      </c>
      <c r="R77" s="8">
        <f t="shared" si="148"/>
        <v>1.2099384449805204</v>
      </c>
      <c r="S77" s="8">
        <f t="shared" si="148"/>
        <v>1.284561091422266</v>
      </c>
      <c r="T77" s="8">
        <f t="shared" si="148"/>
        <v>1.2047187354405009</v>
      </c>
      <c r="U77" s="8">
        <f t="shared" si="148"/>
        <v>1.1561455347449014</v>
      </c>
      <c r="V77" s="8">
        <f t="shared" si="148"/>
        <v>1.0332946918657362</v>
      </c>
      <c r="W77" s="8">
        <f t="shared" si="148"/>
        <v>1.0341155155420716</v>
      </c>
      <c r="X77" s="8">
        <f t="shared" si="148"/>
        <v>0.99747827531959932</v>
      </c>
      <c r="Y77" s="8">
        <f t="shared" si="148"/>
        <v>1.0783889143946519</v>
      </c>
      <c r="Z77" s="8">
        <f t="shared" si="148"/>
        <v>1.2587631112846485</v>
      </c>
      <c r="AA77" s="8">
        <f t="shared" si="148"/>
        <v>1.0974327351049125</v>
      </c>
      <c r="AB77" s="8">
        <f t="shared" si="148"/>
        <v>1.12539094604356</v>
      </c>
      <c r="AC77" s="8">
        <f t="shared" si="148"/>
        <v>1.094215115963495</v>
      </c>
      <c r="AD77" s="8">
        <f t="shared" si="148"/>
        <v>1.0211148062541666</v>
      </c>
      <c r="AE77" s="8">
        <f t="shared" si="148"/>
        <v>1.0086430083031144</v>
      </c>
      <c r="AF77" s="8">
        <f t="shared" si="148"/>
        <v>1.0055864220869266</v>
      </c>
      <c r="AG77" s="8">
        <f t="shared" si="148"/>
        <v>0.84108930013320737</v>
      </c>
      <c r="AH77" s="8">
        <f t="shared" si="148"/>
        <v>0.72251925589591059</v>
      </c>
      <c r="AI77" s="8">
        <f t="shared" si="148"/>
        <v>0.74487871174415854</v>
      </c>
      <c r="AJ77" s="8">
        <f t="shared" si="148"/>
        <v>0.72335654292218876</v>
      </c>
      <c r="AK77" s="8">
        <f t="shared" si="148"/>
        <v>0.74490139967342583</v>
      </c>
      <c r="AL77" s="8">
        <f t="shared" si="148"/>
        <v>0.69310175568579824</v>
      </c>
      <c r="AM77" s="8">
        <f t="shared" si="148"/>
        <v>0.69142377792773413</v>
      </c>
      <c r="AN77" s="8">
        <f t="shared" si="148"/>
        <v>0.66224389175998166</v>
      </c>
      <c r="AO77" s="8">
        <f t="shared" si="148"/>
        <v>0.65131757090608056</v>
      </c>
      <c r="AP77" s="8">
        <f t="shared" si="148"/>
        <v>0.67304481750197553</v>
      </c>
      <c r="AQ77" s="8">
        <f t="shared" si="148"/>
        <v>0.62180943977022451</v>
      </c>
      <c r="AR77" s="8">
        <f t="shared" ref="AR77:AW77" si="150">AR76/AR328*100</f>
        <v>0.69094812278350382</v>
      </c>
      <c r="AS77" s="8">
        <f t="shared" si="150"/>
        <v>0.71614616154940547</v>
      </c>
      <c r="AT77" s="40">
        <f t="shared" si="150"/>
        <v>0.80890781967691583</v>
      </c>
      <c r="AU77" s="40">
        <f t="shared" ref="AU77:AV77" si="151">AU76/AU328*100</f>
        <v>0.66187147734000296</v>
      </c>
      <c r="AV77" s="40">
        <f t="shared" si="151"/>
        <v>0.63741227028318914</v>
      </c>
      <c r="AW77" s="40">
        <f t="shared" si="150"/>
        <v>0.62570505234741847</v>
      </c>
      <c r="AX77" s="40">
        <f t="shared" ref="AX77:AY77" si="152">AX76/AX328*100</f>
        <v>0.59665886134804003</v>
      </c>
      <c r="AY77" s="40">
        <f t="shared" si="152"/>
        <v>0.63725453472672444</v>
      </c>
    </row>
    <row r="78" spans="1:51">
      <c r="A78" s="1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AP78" s="4"/>
      <c r="AQ78" s="4"/>
      <c r="AR78" s="4"/>
      <c r="AS78" s="4"/>
      <c r="AT78" s="4"/>
      <c r="AU78" s="4"/>
      <c r="AV78" s="4"/>
      <c r="AW78" s="4"/>
      <c r="AX78" s="4"/>
      <c r="AY78" s="4"/>
    </row>
    <row r="79" spans="1:51" s="22" customFormat="1">
      <c r="A79" s="21" t="s">
        <v>0</v>
      </c>
      <c r="B79" s="22" t="s">
        <v>5</v>
      </c>
      <c r="C79" s="22" t="s">
        <v>8</v>
      </c>
      <c r="D79" s="23">
        <v>1325523</v>
      </c>
      <c r="E79" s="23">
        <v>1371400</v>
      </c>
      <c r="F79" s="23">
        <v>1401983</v>
      </c>
      <c r="G79" s="23">
        <v>1667583</v>
      </c>
      <c r="H79" s="23">
        <v>1987107</v>
      </c>
      <c r="I79" s="23">
        <v>2133442</v>
      </c>
      <c r="J79" s="23">
        <v>2390958</v>
      </c>
      <c r="K79" s="23">
        <v>2066798</v>
      </c>
      <c r="L79" s="23">
        <f>954840+1034743</f>
        <v>1989583</v>
      </c>
      <c r="M79" s="23">
        <f>988403+998947</f>
        <v>1987350</v>
      </c>
      <c r="N79" s="23">
        <f>902594+863173</f>
        <v>1765767</v>
      </c>
      <c r="O79" s="23">
        <f>939456+864412</f>
        <v>1803868</v>
      </c>
      <c r="P79" s="23">
        <f>993050+1107832</f>
        <v>2100882</v>
      </c>
      <c r="Q79" s="23">
        <f>1045248+918213</f>
        <v>1963461</v>
      </c>
      <c r="R79" s="23">
        <f>1115310+957494</f>
        <v>2072804</v>
      </c>
      <c r="S79" s="23">
        <f>1074371+995676</f>
        <v>2070047</v>
      </c>
      <c r="T79" s="23">
        <f>1026500+916144</f>
        <v>1942644</v>
      </c>
      <c r="U79" s="23">
        <f>1042360+945050</f>
        <v>1987410</v>
      </c>
      <c r="V79" s="23">
        <f>1027071+913416</f>
        <v>1940487</v>
      </c>
      <c r="W79" s="23">
        <f>1055649+829009</f>
        <v>1884658</v>
      </c>
      <c r="X79" s="23">
        <f>1037799+843770</f>
        <v>1881569</v>
      </c>
      <c r="Y79" s="23">
        <f>1006343+863304</f>
        <v>1869647</v>
      </c>
      <c r="Z79" s="23">
        <f>993351+816173</f>
        <v>1809524</v>
      </c>
      <c r="AA79" s="23">
        <f>989057+818057</f>
        <v>1807114</v>
      </c>
      <c r="AB79" s="23">
        <f>975189+754430</f>
        <v>1729619</v>
      </c>
      <c r="AC79" s="23">
        <f>952099+731716</f>
        <v>1683815</v>
      </c>
      <c r="AD79" s="23">
        <v>1617896</v>
      </c>
      <c r="AE79" s="23">
        <v>1554587</v>
      </c>
      <c r="AF79" s="23">
        <v>1344210</v>
      </c>
      <c r="AG79" s="23">
        <v>1086251</v>
      </c>
      <c r="AH79" s="23">
        <v>990768</v>
      </c>
      <c r="AI79" s="23">
        <v>976022</v>
      </c>
      <c r="AJ79" s="23">
        <v>975369</v>
      </c>
      <c r="AK79" s="23">
        <v>985916</v>
      </c>
      <c r="AL79" s="23">
        <v>1078265</v>
      </c>
      <c r="AM79" s="23">
        <v>902282</v>
      </c>
      <c r="AN79" s="23">
        <v>962700</v>
      </c>
      <c r="AO79" s="23">
        <v>890392</v>
      </c>
      <c r="AP79" s="23">
        <v>799669</v>
      </c>
      <c r="AQ79" s="23">
        <v>746670</v>
      </c>
      <c r="AR79" s="23">
        <v>603596</v>
      </c>
      <c r="AS79" s="23">
        <v>450298</v>
      </c>
      <c r="AT79" s="23">
        <v>412226</v>
      </c>
      <c r="AU79" s="23">
        <v>386001</v>
      </c>
      <c r="AV79" s="23">
        <v>364760</v>
      </c>
      <c r="AW79" s="23">
        <v>326501</v>
      </c>
      <c r="AX79" s="23">
        <v>339146</v>
      </c>
      <c r="AY79" s="23">
        <v>222246</v>
      </c>
    </row>
    <row r="80" spans="1:51">
      <c r="A80" s="14"/>
      <c r="B80" s="3" t="s">
        <v>21</v>
      </c>
      <c r="C80" s="3" t="s">
        <v>9</v>
      </c>
      <c r="D80" s="4">
        <v>809269</v>
      </c>
      <c r="E80" s="4">
        <v>877391</v>
      </c>
      <c r="F80" s="4">
        <v>905761</v>
      </c>
      <c r="G80" s="4">
        <v>953836</v>
      </c>
      <c r="H80" s="4">
        <v>998098</v>
      </c>
      <c r="I80" s="4">
        <v>1329519</v>
      </c>
      <c r="J80" s="4">
        <v>1416140</v>
      </c>
      <c r="K80" s="4">
        <f>244872+1247853</f>
        <v>1492725</v>
      </c>
      <c r="L80" s="4">
        <f>230735+1462591</f>
        <v>1693326</v>
      </c>
      <c r="M80" s="4">
        <f>247279+1358665</f>
        <v>1605944</v>
      </c>
      <c r="N80" s="4">
        <f>288763+1441729</f>
        <v>1730492</v>
      </c>
      <c r="O80" s="4">
        <f>300307+1511898</f>
        <v>1812205</v>
      </c>
      <c r="P80" s="4">
        <f>296576+1395527</f>
        <v>1692103</v>
      </c>
      <c r="Q80" s="4">
        <f>343167+1472258</f>
        <v>1815425</v>
      </c>
      <c r="R80" s="4">
        <f>343092+1465692</f>
        <v>1808784</v>
      </c>
      <c r="S80" s="4">
        <f>358715+1656301</f>
        <v>2015016</v>
      </c>
      <c r="T80" s="4">
        <f>385776+1826525</f>
        <v>2212301</v>
      </c>
      <c r="U80" s="4">
        <f>389517+1904737</f>
        <v>2294254</v>
      </c>
      <c r="V80" s="4">
        <f>382774+1906811</f>
        <v>2289585</v>
      </c>
      <c r="W80" s="4">
        <f>400994+1800614</f>
        <v>2201608</v>
      </c>
      <c r="X80" s="4">
        <f>408771+1830717</f>
        <v>2239488</v>
      </c>
      <c r="Y80" s="4">
        <f>437114+1813689</f>
        <v>2250803</v>
      </c>
      <c r="Z80" s="4">
        <f>423777+2139197</f>
        <v>2562974</v>
      </c>
      <c r="AA80" s="4">
        <f>400280+2317868</f>
        <v>2718148</v>
      </c>
      <c r="AB80" s="4">
        <f>407193+2443367</f>
        <v>2850560</v>
      </c>
      <c r="AC80" s="4">
        <f>423143+2176767</f>
        <v>2599910</v>
      </c>
      <c r="AD80" s="4">
        <v>2423803</v>
      </c>
      <c r="AE80" s="4">
        <v>2638537</v>
      </c>
      <c r="AF80" s="4">
        <v>2516967</v>
      </c>
      <c r="AG80" s="4">
        <v>2187709</v>
      </c>
      <c r="AH80" s="4">
        <v>1909779</v>
      </c>
      <c r="AI80" s="4">
        <v>1502429</v>
      </c>
      <c r="AJ80" s="4">
        <v>1264279</v>
      </c>
      <c r="AK80" s="4">
        <v>1110020</v>
      </c>
      <c r="AL80" s="4">
        <v>973142</v>
      </c>
      <c r="AM80" s="4">
        <v>805798</v>
      </c>
      <c r="AN80" s="4">
        <v>721389</v>
      </c>
      <c r="AO80" s="4">
        <v>703174</v>
      </c>
      <c r="AP80" s="4">
        <v>683179</v>
      </c>
      <c r="AQ80" s="4">
        <v>662452</v>
      </c>
      <c r="AR80" s="4">
        <v>391638</v>
      </c>
      <c r="AS80" s="4">
        <v>318552</v>
      </c>
      <c r="AT80" s="4">
        <v>252918</v>
      </c>
      <c r="AU80" s="38">
        <v>217638</v>
      </c>
      <c r="AV80" s="38">
        <v>202647</v>
      </c>
      <c r="AW80" s="38">
        <v>174276</v>
      </c>
      <c r="AX80" s="42">
        <v>157638</v>
      </c>
      <c r="AY80" s="42">
        <v>126972</v>
      </c>
    </row>
    <row r="81" spans="1:51">
      <c r="A81" s="14"/>
      <c r="C81" s="3" t="s">
        <v>11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AG81" s="4">
        <v>377476</v>
      </c>
      <c r="AH81" s="4">
        <v>510011</v>
      </c>
      <c r="AI81" s="4">
        <v>862373</v>
      </c>
      <c r="AJ81" s="4">
        <v>1107908</v>
      </c>
      <c r="AK81" s="4">
        <v>1382718</v>
      </c>
      <c r="AL81" s="4">
        <v>1504527</v>
      </c>
      <c r="AM81" s="4">
        <v>1504439</v>
      </c>
      <c r="AN81" s="4">
        <v>1574477</v>
      </c>
      <c r="AO81" s="4">
        <v>1571414</v>
      </c>
      <c r="AP81" s="4">
        <v>1629670</v>
      </c>
      <c r="AQ81" s="4">
        <v>1848029</v>
      </c>
      <c r="AR81" s="4">
        <v>1388522</v>
      </c>
      <c r="AS81" s="4">
        <v>1234968</v>
      </c>
      <c r="AT81" s="4">
        <v>1148969</v>
      </c>
      <c r="AU81" s="38">
        <v>1165241</v>
      </c>
      <c r="AV81" s="38">
        <v>1210583</v>
      </c>
      <c r="AW81" s="38">
        <v>1260871</v>
      </c>
      <c r="AX81" s="42">
        <v>1279657</v>
      </c>
      <c r="AY81" s="42">
        <v>1190526</v>
      </c>
    </row>
    <row r="82" spans="1:51">
      <c r="A82" s="14"/>
      <c r="C82" s="3" t="s">
        <v>26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AM82" s="4">
        <v>62874</v>
      </c>
      <c r="AN82" s="4">
        <v>40210</v>
      </c>
      <c r="AO82" s="4">
        <v>76952</v>
      </c>
      <c r="AP82" s="4">
        <v>69632</v>
      </c>
      <c r="AQ82" s="4">
        <v>56484</v>
      </c>
      <c r="AR82" s="4">
        <v>39976</v>
      </c>
      <c r="AS82" s="4">
        <v>46005</v>
      </c>
      <c r="AT82" s="4">
        <v>43717</v>
      </c>
      <c r="AU82" s="38">
        <v>35749</v>
      </c>
      <c r="AV82" s="38">
        <v>75257</v>
      </c>
      <c r="AW82" s="38">
        <v>88635</v>
      </c>
      <c r="AX82" s="42">
        <v>121062</v>
      </c>
      <c r="AY82" s="42">
        <v>53214</v>
      </c>
    </row>
    <row r="83" spans="1:51">
      <c r="A83" s="14"/>
      <c r="C83" s="3" t="s">
        <v>24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AM83" s="4">
        <v>258769</v>
      </c>
      <c r="AN83" s="4">
        <v>277243</v>
      </c>
      <c r="AO83" s="4">
        <v>309019</v>
      </c>
      <c r="AP83" s="4">
        <v>330901</v>
      </c>
      <c r="AQ83" s="4">
        <v>346533</v>
      </c>
      <c r="AR83" s="4">
        <v>290006</v>
      </c>
      <c r="AS83" s="4">
        <v>269284</v>
      </c>
      <c r="AT83" s="4">
        <v>248384</v>
      </c>
      <c r="AU83" s="38">
        <v>255454</v>
      </c>
      <c r="AV83" s="38">
        <v>267639</v>
      </c>
      <c r="AW83" s="38">
        <v>267744</v>
      </c>
      <c r="AX83" s="42">
        <v>299762</v>
      </c>
      <c r="AY83" s="42">
        <v>256800</v>
      </c>
    </row>
    <row r="84" spans="1:51">
      <c r="A84" s="14"/>
      <c r="C84" s="3" t="s">
        <v>10</v>
      </c>
      <c r="D84" s="4">
        <v>53068</v>
      </c>
      <c r="E84" s="4">
        <v>69346</v>
      </c>
      <c r="F84" s="4">
        <v>71714</v>
      </c>
      <c r="G84" s="4">
        <v>117174</v>
      </c>
      <c r="H84" s="4">
        <v>110419</v>
      </c>
      <c r="I84" s="4">
        <v>115480</v>
      </c>
      <c r="J84" s="4">
        <v>116123</v>
      </c>
      <c r="K84" s="4">
        <v>124229</v>
      </c>
      <c r="L84" s="4">
        <v>159786</v>
      </c>
      <c r="M84" s="4">
        <v>160519</v>
      </c>
      <c r="N84" s="4">
        <v>132749</v>
      </c>
      <c r="O84" s="4">
        <v>158586</v>
      </c>
      <c r="P84" s="4">
        <v>143340</v>
      </c>
      <c r="Q84" s="4">
        <v>134515</v>
      </c>
      <c r="R84" s="4">
        <v>146219</v>
      </c>
      <c r="S84" s="4">
        <v>198398</v>
      </c>
      <c r="T84" s="4">
        <v>211774</v>
      </c>
      <c r="U84" s="4">
        <v>221548</v>
      </c>
      <c r="V84" s="4">
        <v>227102</v>
      </c>
      <c r="W84" s="4">
        <v>298169</v>
      </c>
      <c r="X84" s="4">
        <v>307232</v>
      </c>
      <c r="Y84" s="4">
        <v>269902</v>
      </c>
      <c r="Z84" s="4">
        <v>284620</v>
      </c>
      <c r="AA84" s="4">
        <v>274430</v>
      </c>
      <c r="AB84" s="4">
        <v>312589</v>
      </c>
      <c r="AC84" s="4">
        <v>288364</v>
      </c>
      <c r="AD84" s="4">
        <v>244103</v>
      </c>
      <c r="AE84" s="4">
        <v>285178</v>
      </c>
      <c r="AF84" s="4">
        <v>343092</v>
      </c>
      <c r="AG84" s="4">
        <v>164128</v>
      </c>
      <c r="AH84" s="4">
        <v>228031</v>
      </c>
      <c r="AI84" s="4">
        <v>232253</v>
      </c>
      <c r="AJ84" s="4">
        <v>228723</v>
      </c>
      <c r="AK84" s="4">
        <v>243505</v>
      </c>
      <c r="AL84" s="4">
        <v>345160</v>
      </c>
      <c r="AM84" s="4">
        <v>106904</v>
      </c>
      <c r="AN84" s="4">
        <v>91838</v>
      </c>
      <c r="AO84" s="4">
        <v>55844</v>
      </c>
      <c r="AP84" s="4">
        <v>39270</v>
      </c>
      <c r="AQ84" s="4">
        <v>39242</v>
      </c>
      <c r="AR84" s="4">
        <v>38373</v>
      </c>
      <c r="AS84" s="4">
        <v>23154</v>
      </c>
      <c r="AT84" s="4">
        <v>25442</v>
      </c>
      <c r="AU84" s="38">
        <v>24279</v>
      </c>
      <c r="AV84" s="38">
        <v>20998</v>
      </c>
      <c r="AW84" s="38">
        <v>18774</v>
      </c>
      <c r="AX84" s="42">
        <v>18978</v>
      </c>
      <c r="AY84" s="42">
        <v>23516</v>
      </c>
    </row>
    <row r="85" spans="1:51">
      <c r="A85" s="14"/>
      <c r="C85" s="3" t="s">
        <v>17</v>
      </c>
      <c r="D85" s="4">
        <v>2187860</v>
      </c>
      <c r="E85" s="4">
        <v>2318137</v>
      </c>
      <c r="F85" s="4">
        <v>2379458</v>
      </c>
      <c r="G85" s="4">
        <v>2738593</v>
      </c>
      <c r="H85" s="4">
        <v>3095624</v>
      </c>
      <c r="I85" s="4">
        <v>3578441</v>
      </c>
      <c r="J85" s="4">
        <v>3923221</v>
      </c>
      <c r="K85" s="4">
        <v>3683752</v>
      </c>
      <c r="L85" s="4">
        <v>3842695</v>
      </c>
      <c r="M85" s="4">
        <v>3753813</v>
      </c>
      <c r="N85" s="4">
        <v>3629008</v>
      </c>
      <c r="O85" s="4">
        <v>3774659</v>
      </c>
      <c r="P85" s="4">
        <v>3936325</v>
      </c>
      <c r="Q85" s="4">
        <v>3913401</v>
      </c>
      <c r="R85" s="4">
        <v>4027807</v>
      </c>
      <c r="S85" s="4">
        <v>4283461</v>
      </c>
      <c r="T85" s="4">
        <v>4366719</v>
      </c>
      <c r="U85" s="4">
        <v>4503212</v>
      </c>
      <c r="V85" s="4">
        <v>4457174</v>
      </c>
      <c r="W85" s="4">
        <v>4384435</v>
      </c>
      <c r="X85" s="4">
        <v>4428289</v>
      </c>
      <c r="Y85" s="4">
        <v>4390352</v>
      </c>
      <c r="Z85" s="4">
        <v>4657118</v>
      </c>
      <c r="AA85" s="4">
        <v>4799692</v>
      </c>
      <c r="AB85" s="4">
        <v>4892768</v>
      </c>
      <c r="AC85" s="4">
        <v>4572089</v>
      </c>
      <c r="AD85" s="4">
        <v>4285802</v>
      </c>
      <c r="AE85" s="4">
        <v>4478302</v>
      </c>
      <c r="AF85" s="4">
        <v>4204269</v>
      </c>
      <c r="AG85" s="4">
        <v>3815564</v>
      </c>
      <c r="AH85" s="4">
        <v>3638589</v>
      </c>
      <c r="AI85" s="4">
        <v>3573077</v>
      </c>
      <c r="AJ85" s="4">
        <v>3576279</v>
      </c>
      <c r="AK85" s="4">
        <v>3722159</v>
      </c>
      <c r="AL85" s="4">
        <v>3901094</v>
      </c>
      <c r="AM85" s="4">
        <v>3641066</v>
      </c>
      <c r="AN85" s="4">
        <v>3667857</v>
      </c>
      <c r="AO85" s="4">
        <v>3606795</v>
      </c>
      <c r="AP85" s="4">
        <v>3552321</v>
      </c>
      <c r="AQ85" s="4">
        <v>3699410</v>
      </c>
      <c r="AR85" s="4">
        <v>2752111</v>
      </c>
      <c r="AS85" s="4">
        <v>2342261</v>
      </c>
      <c r="AT85" s="9">
        <f t="shared" ref="AT85:AY85" si="153">SUM(AT79:AT84)</f>
        <v>2131656</v>
      </c>
      <c r="AU85" s="9">
        <f t="shared" si="153"/>
        <v>2084362</v>
      </c>
      <c r="AV85" s="9">
        <f t="shared" si="153"/>
        <v>2141884</v>
      </c>
      <c r="AW85" s="9">
        <f t="shared" si="153"/>
        <v>2136801</v>
      </c>
      <c r="AX85" s="9">
        <f t="shared" si="153"/>
        <v>2216243</v>
      </c>
      <c r="AY85" s="9">
        <f t="shared" si="153"/>
        <v>1873274</v>
      </c>
    </row>
    <row r="86" spans="1:51">
      <c r="A86" s="14"/>
      <c r="C86" s="10" t="s">
        <v>12</v>
      </c>
      <c r="D86" s="8">
        <f t="shared" ref="D86:AQ86" si="154">D85/D311*100</f>
        <v>2.0394872989979027</v>
      </c>
      <c r="E86" s="8">
        <f t="shared" ref="E86" si="155">E85/E311*100</f>
        <v>2.0973680400991626</v>
      </c>
      <c r="F86" s="8">
        <f t="shared" si="154"/>
        <v>2.0778207602364716</v>
      </c>
      <c r="G86" s="8">
        <f t="shared" si="154"/>
        <v>1.9823903696089644</v>
      </c>
      <c r="H86" s="8">
        <f t="shared" si="154"/>
        <v>1.9378772065702869</v>
      </c>
      <c r="I86" s="8">
        <f t="shared" si="154"/>
        <v>2.0741949896812821</v>
      </c>
      <c r="J86" s="8">
        <f t="shared" si="154"/>
        <v>2.1080741818048638</v>
      </c>
      <c r="K86" s="8">
        <f t="shared" si="154"/>
        <v>1.9465357270817572</v>
      </c>
      <c r="L86" s="8">
        <f t="shared" si="154"/>
        <v>2.0414366545610614</v>
      </c>
      <c r="M86" s="8">
        <f t="shared" si="154"/>
        <v>1.7933427104891451</v>
      </c>
      <c r="N86" s="8">
        <f t="shared" si="154"/>
        <v>1.6891080002755441</v>
      </c>
      <c r="O86" s="8">
        <f t="shared" si="154"/>
        <v>1.6872545063174327</v>
      </c>
      <c r="P86" s="8">
        <f t="shared" si="154"/>
        <v>1.6176220937756238</v>
      </c>
      <c r="Q86" s="8">
        <f t="shared" si="154"/>
        <v>1.6017003214716583</v>
      </c>
      <c r="R86" s="8">
        <f t="shared" si="154"/>
        <v>1.6720769680125522</v>
      </c>
      <c r="S86" s="8">
        <f t="shared" si="154"/>
        <v>1.6212772159321778</v>
      </c>
      <c r="T86" s="8">
        <f t="shared" si="154"/>
        <v>1.5723185031520968</v>
      </c>
      <c r="U86" s="8">
        <f t="shared" si="154"/>
        <v>1.5609899311980753</v>
      </c>
      <c r="V86" s="8">
        <f t="shared" si="154"/>
        <v>1.1345820190809188</v>
      </c>
      <c r="W86" s="8">
        <f t="shared" si="154"/>
        <v>1.3340193480065039</v>
      </c>
      <c r="X86" s="8">
        <f t="shared" si="154"/>
        <v>1.2503192051712109</v>
      </c>
      <c r="Y86" s="8">
        <f t="shared" si="154"/>
        <v>1.302466200315143</v>
      </c>
      <c r="Z86" s="8">
        <f t="shared" si="154"/>
        <v>1.3957253070965923</v>
      </c>
      <c r="AA86" s="8">
        <f t="shared" si="154"/>
        <v>1.409001527693452</v>
      </c>
      <c r="AB86" s="8">
        <f t="shared" si="154"/>
        <v>1.3954485957644811</v>
      </c>
      <c r="AC86" s="8">
        <f t="shared" si="154"/>
        <v>1.3448069922602011</v>
      </c>
      <c r="AD86" s="8">
        <f t="shared" si="154"/>
        <v>1.4089899917144866</v>
      </c>
      <c r="AE86" s="8">
        <f t="shared" si="154"/>
        <v>1.3628011198231889</v>
      </c>
      <c r="AF86" s="8">
        <f t="shared" si="154"/>
        <v>1.1785742683940608</v>
      </c>
      <c r="AG86" s="8">
        <f t="shared" si="154"/>
        <v>0.96184998156848556</v>
      </c>
      <c r="AH86" s="8">
        <f t="shared" si="154"/>
        <v>0.8682732503457814</v>
      </c>
      <c r="AI86" s="8">
        <f t="shared" si="154"/>
        <v>0.88232902303780825</v>
      </c>
      <c r="AJ86" s="8">
        <f t="shared" si="154"/>
        <v>0.86090046258933184</v>
      </c>
      <c r="AK86" s="8">
        <f t="shared" si="154"/>
        <v>0.86143412212163639</v>
      </c>
      <c r="AL86" s="8">
        <f t="shared" si="154"/>
        <v>0.83588668134390609</v>
      </c>
      <c r="AM86" s="8">
        <f t="shared" si="154"/>
        <v>0.85912652940862566</v>
      </c>
      <c r="AN86" s="8">
        <f t="shared" si="154"/>
        <v>0.83567253110273765</v>
      </c>
      <c r="AO86" s="8">
        <f t="shared" si="154"/>
        <v>0.80402747613670977</v>
      </c>
      <c r="AP86" s="8">
        <f t="shared" si="154"/>
        <v>0.75236315514195051</v>
      </c>
      <c r="AQ86" s="8">
        <f t="shared" si="154"/>
        <v>0.78464359119401417</v>
      </c>
      <c r="AR86" s="8">
        <f t="shared" ref="AR86:AW86" si="156">AR85/AR311*100</f>
        <v>0.78263236828786542</v>
      </c>
      <c r="AS86" s="8">
        <f t="shared" si="156"/>
        <v>0.7088583811380621</v>
      </c>
      <c r="AT86" s="40">
        <f t="shared" si="156"/>
        <v>0.66124842066176792</v>
      </c>
      <c r="AU86" s="40">
        <f t="shared" ref="AU86:AV86" si="157">AU85/AU311*100</f>
        <v>0.63203912906598025</v>
      </c>
      <c r="AV86" s="40">
        <f t="shared" si="157"/>
        <v>0.63666220744162472</v>
      </c>
      <c r="AW86" s="40">
        <f t="shared" si="156"/>
        <v>0.62935082772304063</v>
      </c>
      <c r="AX86" s="40">
        <f t="shared" ref="AX86:AY86" si="158">AX85/AX311*100</f>
        <v>0.62925656678611142</v>
      </c>
      <c r="AY86" s="40">
        <f t="shared" si="158"/>
        <v>0.54212824235020551</v>
      </c>
    </row>
    <row r="87" spans="1:51">
      <c r="A87" s="1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AP87" s="4"/>
      <c r="AQ87" s="4"/>
      <c r="AR87" s="4"/>
      <c r="AS87" s="4"/>
      <c r="AT87" s="4"/>
      <c r="AU87" s="4"/>
      <c r="AV87" s="4"/>
      <c r="AW87" s="4"/>
      <c r="AX87" s="4"/>
      <c r="AY87" s="4"/>
    </row>
    <row r="88" spans="1:51" s="2" customFormat="1">
      <c r="A88" s="15"/>
      <c r="C88" s="3"/>
      <c r="D88" s="1">
        <f t="shared" ref="D88:AQ88" si="159">D2</f>
        <v>1975</v>
      </c>
      <c r="E88" s="1">
        <f t="shared" ref="E88" si="160">E2</f>
        <v>76</v>
      </c>
      <c r="F88" s="1">
        <f t="shared" si="159"/>
        <v>77</v>
      </c>
      <c r="G88" s="1">
        <f t="shared" si="159"/>
        <v>78</v>
      </c>
      <c r="H88" s="1">
        <f t="shared" si="159"/>
        <v>79</v>
      </c>
      <c r="I88" s="1">
        <f t="shared" si="159"/>
        <v>80</v>
      </c>
      <c r="J88" s="1">
        <f t="shared" si="159"/>
        <v>81</v>
      </c>
      <c r="K88" s="1">
        <f t="shared" si="159"/>
        <v>82</v>
      </c>
      <c r="L88" s="1">
        <f t="shared" si="159"/>
        <v>83</v>
      </c>
      <c r="M88" s="1">
        <f t="shared" si="159"/>
        <v>84</v>
      </c>
      <c r="N88" s="1">
        <f t="shared" si="159"/>
        <v>85</v>
      </c>
      <c r="O88" s="1">
        <f t="shared" si="159"/>
        <v>86</v>
      </c>
      <c r="P88" s="1">
        <f t="shared" si="159"/>
        <v>87</v>
      </c>
      <c r="Q88" s="1">
        <f t="shared" si="159"/>
        <v>88</v>
      </c>
      <c r="R88" s="1">
        <f t="shared" si="159"/>
        <v>89</v>
      </c>
      <c r="S88" s="1" t="str">
        <f t="shared" si="159"/>
        <v>90</v>
      </c>
      <c r="T88" s="1" t="str">
        <f t="shared" si="159"/>
        <v>91</v>
      </c>
      <c r="U88" s="1" t="str">
        <f t="shared" si="159"/>
        <v>92</v>
      </c>
      <c r="V88" s="1" t="str">
        <f t="shared" si="159"/>
        <v>93</v>
      </c>
      <c r="W88" s="1" t="str">
        <f t="shared" si="159"/>
        <v>94</v>
      </c>
      <c r="X88" s="1" t="str">
        <f t="shared" si="159"/>
        <v>95</v>
      </c>
      <c r="Y88" s="1" t="str">
        <f t="shared" si="159"/>
        <v>96</v>
      </c>
      <c r="Z88" s="1" t="str">
        <f t="shared" si="159"/>
        <v>97</v>
      </c>
      <c r="AA88" s="1" t="str">
        <f t="shared" si="159"/>
        <v>98</v>
      </c>
      <c r="AB88" s="1" t="str">
        <f t="shared" si="159"/>
        <v>99</v>
      </c>
      <c r="AC88" s="1" t="str">
        <f t="shared" si="159"/>
        <v>2000</v>
      </c>
      <c r="AD88" s="1" t="str">
        <f t="shared" si="159"/>
        <v>01</v>
      </c>
      <c r="AE88" s="1" t="str">
        <f t="shared" si="159"/>
        <v>02</v>
      </c>
      <c r="AF88" s="1" t="str">
        <f t="shared" si="159"/>
        <v>03</v>
      </c>
      <c r="AG88" s="1" t="str">
        <f t="shared" si="159"/>
        <v>04</v>
      </c>
      <c r="AH88" s="1" t="str">
        <f t="shared" si="159"/>
        <v>05</v>
      </c>
      <c r="AI88" s="1" t="str">
        <f t="shared" si="159"/>
        <v>06</v>
      </c>
      <c r="AJ88" s="1" t="str">
        <f t="shared" si="159"/>
        <v>07</v>
      </c>
      <c r="AK88" s="1" t="str">
        <f t="shared" si="159"/>
        <v>08</v>
      </c>
      <c r="AL88" s="1" t="str">
        <f t="shared" si="159"/>
        <v>09</v>
      </c>
      <c r="AM88" s="1" t="str">
        <f t="shared" si="159"/>
        <v>10</v>
      </c>
      <c r="AN88" s="1" t="str">
        <f t="shared" si="159"/>
        <v>11</v>
      </c>
      <c r="AO88" s="1" t="str">
        <f t="shared" si="159"/>
        <v>12</v>
      </c>
      <c r="AP88" s="1" t="str">
        <f t="shared" si="159"/>
        <v>13</v>
      </c>
      <c r="AQ88" s="1" t="str">
        <f t="shared" si="159"/>
        <v>14</v>
      </c>
      <c r="AR88" s="1" t="str">
        <f t="shared" ref="AR88:AS88" si="161">AR2</f>
        <v>15</v>
      </c>
      <c r="AS88" s="1" t="str">
        <f t="shared" si="161"/>
        <v>16</v>
      </c>
      <c r="AT88" s="1" t="str">
        <f t="shared" ref="AT88" si="162">AT2</f>
        <v>17</v>
      </c>
      <c r="AU88" s="1">
        <v>18</v>
      </c>
      <c r="AV88" s="1">
        <v>19</v>
      </c>
      <c r="AW88" s="1">
        <v>20</v>
      </c>
      <c r="AX88" s="1">
        <v>21</v>
      </c>
      <c r="AY88" s="1">
        <v>22</v>
      </c>
    </row>
    <row r="89" spans="1:51">
      <c r="A89" s="14" t="s">
        <v>0</v>
      </c>
      <c r="B89" s="3" t="s">
        <v>30</v>
      </c>
      <c r="C89" s="3" t="s">
        <v>8</v>
      </c>
      <c r="D89" s="4">
        <f t="shared" ref="D89:AQ89" si="163">D79/D346</f>
        <v>45707.689655172413</v>
      </c>
      <c r="E89" s="4">
        <f t="shared" ref="E89" si="164">E79/E346</f>
        <v>50792.592592592591</v>
      </c>
      <c r="F89" s="4">
        <f t="shared" si="163"/>
        <v>51925.296296296299</v>
      </c>
      <c r="G89" s="4">
        <f t="shared" si="163"/>
        <v>61762.333333333336</v>
      </c>
      <c r="H89" s="4">
        <f t="shared" si="163"/>
        <v>73596.555555555562</v>
      </c>
      <c r="I89" s="4">
        <f t="shared" si="163"/>
        <v>79016.370370370365</v>
      </c>
      <c r="J89" s="4">
        <f t="shared" si="163"/>
        <v>88554</v>
      </c>
      <c r="K89" s="4">
        <f t="shared" si="163"/>
        <v>76548.074074074073</v>
      </c>
      <c r="L89" s="4">
        <f t="shared" si="163"/>
        <v>73688.259259259255</v>
      </c>
      <c r="M89" s="4">
        <f t="shared" si="163"/>
        <v>73605.555555555562</v>
      </c>
      <c r="N89" s="4">
        <f t="shared" si="163"/>
        <v>65398.777777777781</v>
      </c>
      <c r="O89" s="4">
        <f t="shared" si="163"/>
        <v>64423.857142857145</v>
      </c>
      <c r="P89" s="4">
        <f t="shared" si="163"/>
        <v>75031.5</v>
      </c>
      <c r="Q89" s="4">
        <f t="shared" si="163"/>
        <v>70123.607142857145</v>
      </c>
      <c r="R89" s="4">
        <f t="shared" si="163"/>
        <v>71476</v>
      </c>
      <c r="S89" s="4">
        <f t="shared" si="163"/>
        <v>71380.931034482754</v>
      </c>
      <c r="T89" s="4">
        <f t="shared" si="163"/>
        <v>62665.93548387097</v>
      </c>
      <c r="U89" s="4">
        <f t="shared" si="163"/>
        <v>64110</v>
      </c>
      <c r="V89" s="4">
        <f t="shared" si="163"/>
        <v>62596.354838709674</v>
      </c>
      <c r="W89" s="4">
        <f t="shared" si="163"/>
        <v>60795.419354838712</v>
      </c>
      <c r="X89" s="4">
        <f t="shared" si="163"/>
        <v>60695.774193548386</v>
      </c>
      <c r="Y89" s="4">
        <f t="shared" si="163"/>
        <v>62321.566666666666</v>
      </c>
      <c r="Z89" s="4">
        <f t="shared" si="163"/>
        <v>62397.379310344826</v>
      </c>
      <c r="AA89" s="4">
        <f t="shared" si="163"/>
        <v>62314.275862068964</v>
      </c>
      <c r="AB89" s="4">
        <f t="shared" si="163"/>
        <v>59642.034482758623</v>
      </c>
      <c r="AC89" s="4">
        <f t="shared" si="163"/>
        <v>58062.586206896551</v>
      </c>
      <c r="AD89" s="4">
        <f t="shared" si="163"/>
        <v>55789.517241379312</v>
      </c>
      <c r="AE89" s="4">
        <f t="shared" si="163"/>
        <v>53606.448275862072</v>
      </c>
      <c r="AF89" s="4">
        <f t="shared" si="163"/>
        <v>51700.384615384617</v>
      </c>
      <c r="AG89" s="4">
        <f t="shared" si="163"/>
        <v>41778.884615384617</v>
      </c>
      <c r="AH89" s="4">
        <f t="shared" si="163"/>
        <v>38106.461538461539</v>
      </c>
      <c r="AI89" s="4">
        <f t="shared" si="163"/>
        <v>39040.879999999997</v>
      </c>
      <c r="AJ89" s="4">
        <f t="shared" si="163"/>
        <v>39014.76</v>
      </c>
      <c r="AK89" s="4">
        <f t="shared" si="163"/>
        <v>39436.639999999999</v>
      </c>
      <c r="AL89" s="4">
        <f t="shared" si="163"/>
        <v>43130.6</v>
      </c>
      <c r="AM89" s="4">
        <f t="shared" si="163"/>
        <v>36091.279999999999</v>
      </c>
      <c r="AN89" s="4">
        <f t="shared" si="163"/>
        <v>37026.923076923078</v>
      </c>
      <c r="AO89" s="4">
        <f t="shared" si="163"/>
        <v>34245.846153846156</v>
      </c>
      <c r="AP89" s="4">
        <f t="shared" si="163"/>
        <v>30756.5</v>
      </c>
      <c r="AQ89" s="4">
        <f t="shared" si="163"/>
        <v>28718.076923076922</v>
      </c>
      <c r="AR89" s="4">
        <f t="shared" ref="AR89" si="165">AR79/AR346</f>
        <v>28742.666666666668</v>
      </c>
      <c r="AS89" s="4">
        <v>22515</v>
      </c>
      <c r="AT89" s="9">
        <f t="shared" ref="AT89:AY89" si="166">ROUND(AT79/AT$346,0)</f>
        <v>21696</v>
      </c>
      <c r="AU89" s="9">
        <f t="shared" si="166"/>
        <v>20316</v>
      </c>
      <c r="AV89" s="9">
        <f t="shared" si="166"/>
        <v>19198</v>
      </c>
      <c r="AW89" s="9">
        <f t="shared" si="166"/>
        <v>17184</v>
      </c>
      <c r="AX89" s="9">
        <f t="shared" si="166"/>
        <v>17850</v>
      </c>
      <c r="AY89" s="9">
        <f t="shared" si="166"/>
        <v>12347</v>
      </c>
    </row>
    <row r="90" spans="1:51">
      <c r="A90" s="14"/>
      <c r="B90" s="3" t="s">
        <v>21</v>
      </c>
      <c r="C90" s="3" t="s">
        <v>9</v>
      </c>
      <c r="D90" s="4">
        <f t="shared" ref="D90:AQ90" si="167">D80/D346</f>
        <v>27905.827586206895</v>
      </c>
      <c r="E90" s="4">
        <f t="shared" ref="E90" si="168">E80/E346</f>
        <v>32495.962962962964</v>
      </c>
      <c r="F90" s="4">
        <f t="shared" si="167"/>
        <v>33546.703703703701</v>
      </c>
      <c r="G90" s="4">
        <f t="shared" si="167"/>
        <v>35327.259259259263</v>
      </c>
      <c r="H90" s="4">
        <f t="shared" si="167"/>
        <v>36966.592592592591</v>
      </c>
      <c r="I90" s="4">
        <f t="shared" si="167"/>
        <v>49241.444444444445</v>
      </c>
      <c r="J90" s="4">
        <f t="shared" si="167"/>
        <v>52449.629629629628</v>
      </c>
      <c r="K90" s="4">
        <f t="shared" si="167"/>
        <v>55286.111111111109</v>
      </c>
      <c r="L90" s="4">
        <f t="shared" si="167"/>
        <v>62715.777777777781</v>
      </c>
      <c r="M90" s="4">
        <f t="shared" si="167"/>
        <v>59479.407407407409</v>
      </c>
      <c r="N90" s="4">
        <f t="shared" si="167"/>
        <v>64092.296296296299</v>
      </c>
      <c r="O90" s="4">
        <f t="shared" si="167"/>
        <v>64721.607142857145</v>
      </c>
      <c r="P90" s="4">
        <f t="shared" si="167"/>
        <v>60432.25</v>
      </c>
      <c r="Q90" s="4">
        <f t="shared" si="167"/>
        <v>64836.607142857145</v>
      </c>
      <c r="R90" s="4">
        <f t="shared" si="167"/>
        <v>62371.862068965514</v>
      </c>
      <c r="S90" s="4">
        <f t="shared" si="167"/>
        <v>69483.31034482758</v>
      </c>
      <c r="T90" s="4">
        <f t="shared" si="167"/>
        <v>71364.548387096773</v>
      </c>
      <c r="U90" s="4">
        <f t="shared" si="167"/>
        <v>74008.193548387091</v>
      </c>
      <c r="V90" s="4">
        <f t="shared" si="167"/>
        <v>73857.580645161288</v>
      </c>
      <c r="W90" s="4">
        <f t="shared" si="167"/>
        <v>71019.612903225803</v>
      </c>
      <c r="X90" s="4">
        <f t="shared" si="167"/>
        <v>72241.548387096773</v>
      </c>
      <c r="Y90" s="4">
        <f t="shared" si="167"/>
        <v>75026.766666666663</v>
      </c>
      <c r="Z90" s="4">
        <f t="shared" si="167"/>
        <v>88378.413793103449</v>
      </c>
      <c r="AA90" s="4">
        <f t="shared" si="167"/>
        <v>93729.241379310348</v>
      </c>
      <c r="AB90" s="4">
        <f t="shared" si="167"/>
        <v>98295.172413793101</v>
      </c>
      <c r="AC90" s="4">
        <f t="shared" si="167"/>
        <v>89652.068965517246</v>
      </c>
      <c r="AD90" s="4">
        <f t="shared" si="167"/>
        <v>83579.413793103449</v>
      </c>
      <c r="AE90" s="4">
        <f t="shared" si="167"/>
        <v>90984.034482758623</v>
      </c>
      <c r="AF90" s="4">
        <f t="shared" si="167"/>
        <v>96806.423076923078</v>
      </c>
      <c r="AG90" s="4">
        <f t="shared" si="167"/>
        <v>84142.653846153844</v>
      </c>
      <c r="AH90" s="4">
        <f t="shared" si="167"/>
        <v>73453.038461538468</v>
      </c>
      <c r="AI90" s="4">
        <f t="shared" si="167"/>
        <v>60097.16</v>
      </c>
      <c r="AJ90" s="4">
        <f t="shared" si="167"/>
        <v>50571.16</v>
      </c>
      <c r="AK90" s="4">
        <f t="shared" si="167"/>
        <v>44400.800000000003</v>
      </c>
      <c r="AL90" s="4">
        <f t="shared" si="167"/>
        <v>38925.68</v>
      </c>
      <c r="AM90" s="4">
        <f t="shared" si="167"/>
        <v>32231.919999999998</v>
      </c>
      <c r="AN90" s="4">
        <f t="shared" si="167"/>
        <v>27745.73076923077</v>
      </c>
      <c r="AO90" s="4">
        <f t="shared" si="167"/>
        <v>27045.153846153848</v>
      </c>
      <c r="AP90" s="4">
        <f t="shared" si="167"/>
        <v>26276.115384615383</v>
      </c>
      <c r="AQ90" s="4">
        <f t="shared" si="167"/>
        <v>25478.923076923078</v>
      </c>
      <c r="AR90" s="4">
        <f t="shared" ref="AR90" si="169">AR80/AR346</f>
        <v>18649.428571428572</v>
      </c>
      <c r="AS90" s="4">
        <v>15928</v>
      </c>
      <c r="AT90" s="9">
        <f t="shared" ref="AT90" si="170">ROUND(AT80/AT$346,0)</f>
        <v>13311</v>
      </c>
      <c r="AU90" s="9">
        <f t="shared" ref="AU90:AV90" si="171">ROUND(AU80/AU$346,0)</f>
        <v>11455</v>
      </c>
      <c r="AV90" s="9">
        <f t="shared" si="171"/>
        <v>10666</v>
      </c>
      <c r="AW90" s="9">
        <f t="shared" ref="AW90:AX94" si="172">ROUND(AW80/AW$346,0)</f>
        <v>9172</v>
      </c>
      <c r="AX90" s="9">
        <f t="shared" si="172"/>
        <v>8297</v>
      </c>
      <c r="AY90" s="9">
        <f t="shared" ref="AY90" si="173">ROUND(AY80/AY$346,0)</f>
        <v>7054</v>
      </c>
    </row>
    <row r="91" spans="1:51">
      <c r="A91" s="14"/>
      <c r="C91" s="3" t="s">
        <v>11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AG91" s="4">
        <f t="shared" ref="AG91:AQ91" si="174">AG81/AG346</f>
        <v>14518.307692307691</v>
      </c>
      <c r="AH91" s="4">
        <f t="shared" si="174"/>
        <v>19615.807692307691</v>
      </c>
      <c r="AI91" s="4">
        <f t="shared" si="174"/>
        <v>34494.92</v>
      </c>
      <c r="AJ91" s="4">
        <f t="shared" si="174"/>
        <v>44316.32</v>
      </c>
      <c r="AK91" s="4">
        <f t="shared" si="174"/>
        <v>55308.72</v>
      </c>
      <c r="AL91" s="4">
        <f t="shared" si="174"/>
        <v>60181.08</v>
      </c>
      <c r="AM91" s="4">
        <f t="shared" si="174"/>
        <v>60177.56</v>
      </c>
      <c r="AN91" s="4">
        <f t="shared" si="174"/>
        <v>60556.807692307695</v>
      </c>
      <c r="AO91" s="4">
        <f t="shared" si="174"/>
        <v>60439</v>
      </c>
      <c r="AP91" s="4">
        <f t="shared" si="174"/>
        <v>62679.615384615383</v>
      </c>
      <c r="AQ91" s="4">
        <f t="shared" si="174"/>
        <v>71078.038461538468</v>
      </c>
      <c r="AR91" s="4">
        <f t="shared" ref="AR91" si="175">AR81/AR346</f>
        <v>66120.095238095237</v>
      </c>
      <c r="AS91" s="4">
        <v>61748</v>
      </c>
      <c r="AT91" s="9">
        <f t="shared" ref="AT91" si="176">ROUND(AT81/AT$346,0)</f>
        <v>60472</v>
      </c>
      <c r="AU91" s="9">
        <f t="shared" ref="AU91:AV91" si="177">ROUND(AU81/AU$346,0)</f>
        <v>61328</v>
      </c>
      <c r="AV91" s="9">
        <f t="shared" si="177"/>
        <v>63715</v>
      </c>
      <c r="AW91" s="9">
        <f t="shared" si="172"/>
        <v>66362</v>
      </c>
      <c r="AX91" s="9">
        <f t="shared" si="172"/>
        <v>67350</v>
      </c>
      <c r="AY91" s="9">
        <f t="shared" ref="AY91" si="178">ROUND(AY81/AY$346,0)</f>
        <v>66140</v>
      </c>
    </row>
    <row r="92" spans="1:51">
      <c r="A92" s="14"/>
      <c r="C92" s="3" t="s">
        <v>26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AM92" s="4">
        <f t="shared" ref="AM92:AQ92" si="179">AM82/AM346</f>
        <v>2514.96</v>
      </c>
      <c r="AN92" s="4">
        <f t="shared" si="179"/>
        <v>1546.5384615384614</v>
      </c>
      <c r="AO92" s="4">
        <f t="shared" si="179"/>
        <v>2959.6923076923076</v>
      </c>
      <c r="AP92" s="4">
        <f t="shared" si="179"/>
        <v>2678.1538461538462</v>
      </c>
      <c r="AQ92" s="4">
        <f t="shared" si="179"/>
        <v>2172.4615384615386</v>
      </c>
      <c r="AR92" s="4">
        <f t="shared" ref="AR92" si="180">AR82/AR346</f>
        <v>1903.6190476190477</v>
      </c>
      <c r="AS92" s="4">
        <v>2300</v>
      </c>
      <c r="AT92" s="9">
        <f t="shared" ref="AT92" si="181">ROUND(AT82/AT$346,0)</f>
        <v>2301</v>
      </c>
      <c r="AU92" s="9">
        <f t="shared" ref="AU92:AV92" si="182">ROUND(AU82/AU$346,0)</f>
        <v>1882</v>
      </c>
      <c r="AV92" s="9">
        <f t="shared" si="182"/>
        <v>3961</v>
      </c>
      <c r="AW92" s="9">
        <f t="shared" si="172"/>
        <v>4665</v>
      </c>
      <c r="AX92" s="9">
        <f t="shared" si="172"/>
        <v>6372</v>
      </c>
      <c r="AY92" s="9">
        <f t="shared" ref="AY92" si="183">ROUND(AY82/AY$346,0)</f>
        <v>2956</v>
      </c>
    </row>
    <row r="93" spans="1:51">
      <c r="A93" s="14"/>
      <c r="C93" s="3" t="s">
        <v>24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AM93" s="4">
        <f t="shared" ref="AM93:AQ93" si="184">AM83/AM346</f>
        <v>10350.76</v>
      </c>
      <c r="AN93" s="4">
        <f t="shared" si="184"/>
        <v>10663.192307692309</v>
      </c>
      <c r="AO93" s="4">
        <f t="shared" si="184"/>
        <v>11885.346153846154</v>
      </c>
      <c r="AP93" s="4">
        <f t="shared" si="184"/>
        <v>12726.961538461539</v>
      </c>
      <c r="AQ93" s="4">
        <f t="shared" si="184"/>
        <v>13328.192307692309</v>
      </c>
      <c r="AR93" s="4">
        <f t="shared" ref="AR93" si="185">AR83/AR346</f>
        <v>13809.809523809523</v>
      </c>
      <c r="AS93" s="4">
        <v>13464</v>
      </c>
      <c r="AT93" s="9">
        <f t="shared" ref="AT93" si="186">ROUND(AT83/AT$346,0)</f>
        <v>13073</v>
      </c>
      <c r="AU93" s="9">
        <f t="shared" ref="AU93:AV93" si="187">ROUND(AU83/AU$346,0)</f>
        <v>13445</v>
      </c>
      <c r="AV93" s="9">
        <f t="shared" si="187"/>
        <v>14086</v>
      </c>
      <c r="AW93" s="9">
        <f t="shared" si="172"/>
        <v>14092</v>
      </c>
      <c r="AX93" s="9">
        <f t="shared" si="172"/>
        <v>15777</v>
      </c>
      <c r="AY93" s="9">
        <f t="shared" ref="AY93" si="188">ROUND(AY83/AY$346,0)</f>
        <v>14267</v>
      </c>
    </row>
    <row r="94" spans="1:51">
      <c r="A94" s="14"/>
      <c r="C94" s="3" t="s">
        <v>10</v>
      </c>
      <c r="D94" s="4">
        <f t="shared" ref="D94:AQ94" si="189">D84/D346</f>
        <v>1829.9310344827586</v>
      </c>
      <c r="E94" s="4">
        <f t="shared" ref="E94" si="190">E84/E346</f>
        <v>2568.3703703703704</v>
      </c>
      <c r="F94" s="4">
        <f t="shared" si="189"/>
        <v>2656.0740740740739</v>
      </c>
      <c r="G94" s="4">
        <f t="shared" si="189"/>
        <v>4339.7777777777774</v>
      </c>
      <c r="H94" s="4">
        <f t="shared" si="189"/>
        <v>4089.5925925925926</v>
      </c>
      <c r="I94" s="4">
        <f t="shared" si="189"/>
        <v>4277.0370370370374</v>
      </c>
      <c r="J94" s="4">
        <f t="shared" si="189"/>
        <v>4300.8518518518522</v>
      </c>
      <c r="K94" s="4">
        <f t="shared" si="189"/>
        <v>4601.0740740740739</v>
      </c>
      <c r="L94" s="4">
        <f t="shared" si="189"/>
        <v>5918</v>
      </c>
      <c r="M94" s="4">
        <f t="shared" si="189"/>
        <v>5945.1481481481478</v>
      </c>
      <c r="N94" s="4">
        <f t="shared" si="189"/>
        <v>4916.6296296296296</v>
      </c>
      <c r="O94" s="4">
        <f t="shared" si="189"/>
        <v>5663.7857142857147</v>
      </c>
      <c r="P94" s="4">
        <f t="shared" si="189"/>
        <v>5119.2857142857147</v>
      </c>
      <c r="Q94" s="4">
        <f t="shared" si="189"/>
        <v>4804.1071428571431</v>
      </c>
      <c r="R94" s="4">
        <f t="shared" si="189"/>
        <v>5042.0344827586205</v>
      </c>
      <c r="S94" s="4">
        <f t="shared" si="189"/>
        <v>6841.3103448275861</v>
      </c>
      <c r="T94" s="4">
        <f t="shared" si="189"/>
        <v>6831.4193548387093</v>
      </c>
      <c r="U94" s="4">
        <f t="shared" si="189"/>
        <v>7146.7096774193551</v>
      </c>
      <c r="V94" s="4">
        <f t="shared" si="189"/>
        <v>7325.8709677419356</v>
      </c>
      <c r="W94" s="4">
        <f t="shared" si="189"/>
        <v>9618.354838709678</v>
      </c>
      <c r="X94" s="4">
        <f t="shared" si="189"/>
        <v>9910.7096774193542</v>
      </c>
      <c r="Y94" s="4">
        <f t="shared" si="189"/>
        <v>8996.7333333333336</v>
      </c>
      <c r="Z94" s="4">
        <f t="shared" si="189"/>
        <v>9814.4827586206902</v>
      </c>
      <c r="AA94" s="4">
        <f t="shared" si="189"/>
        <v>9463.1034482758623</v>
      </c>
      <c r="AB94" s="4">
        <f t="shared" si="189"/>
        <v>10778.931034482759</v>
      </c>
      <c r="AC94" s="4">
        <f t="shared" si="189"/>
        <v>9943.5862068965525</v>
      </c>
      <c r="AD94" s="4">
        <f t="shared" si="189"/>
        <v>8417.3448275862065</v>
      </c>
      <c r="AE94" s="4">
        <f t="shared" si="189"/>
        <v>9833.7241379310344</v>
      </c>
      <c r="AF94" s="4">
        <f t="shared" si="189"/>
        <v>13195.846153846154</v>
      </c>
      <c r="AG94" s="4">
        <f t="shared" si="189"/>
        <v>6312.6153846153848</v>
      </c>
      <c r="AH94" s="4">
        <f t="shared" si="189"/>
        <v>8770.4230769230762</v>
      </c>
      <c r="AI94" s="4">
        <f t="shared" si="189"/>
        <v>9290.1200000000008</v>
      </c>
      <c r="AJ94" s="4">
        <f t="shared" si="189"/>
        <v>9148.92</v>
      </c>
      <c r="AK94" s="4">
        <f t="shared" si="189"/>
        <v>9740.2000000000007</v>
      </c>
      <c r="AL94" s="4">
        <f t="shared" si="189"/>
        <v>13806.4</v>
      </c>
      <c r="AM94" s="4">
        <f t="shared" si="189"/>
        <v>4276.16</v>
      </c>
      <c r="AN94" s="4">
        <f t="shared" si="189"/>
        <v>3532.2307692307691</v>
      </c>
      <c r="AO94" s="4">
        <f t="shared" si="189"/>
        <v>2147.8461538461538</v>
      </c>
      <c r="AP94" s="4">
        <f t="shared" si="189"/>
        <v>1510.3846153846155</v>
      </c>
      <c r="AQ94" s="4">
        <f t="shared" si="189"/>
        <v>1509.3076923076924</v>
      </c>
      <c r="AR94" s="4">
        <f t="shared" ref="AR94" si="191">AR84/AR346</f>
        <v>1827.2857142857142</v>
      </c>
      <c r="AS94" s="4">
        <v>1158</v>
      </c>
      <c r="AT94" s="9">
        <f t="shared" ref="AT94" si="192">ROUND(AT84/AT$346,0)</f>
        <v>1339</v>
      </c>
      <c r="AU94" s="9">
        <f t="shared" ref="AU94:AV94" si="193">ROUND(AU84/AU$346,0)</f>
        <v>1278</v>
      </c>
      <c r="AV94" s="9">
        <f t="shared" si="193"/>
        <v>1105</v>
      </c>
      <c r="AW94" s="9">
        <f t="shared" si="172"/>
        <v>988</v>
      </c>
      <c r="AX94" s="9">
        <f t="shared" si="172"/>
        <v>999</v>
      </c>
      <c r="AY94" s="9">
        <f t="shared" ref="AY94" si="194">ROUND(AY84/AY$346,0)</f>
        <v>1306</v>
      </c>
    </row>
    <row r="95" spans="1:51">
      <c r="A95" s="14"/>
      <c r="C95" s="3" t="s">
        <v>17</v>
      </c>
      <c r="D95" s="4">
        <f t="shared" ref="D95:AQ95" si="195">D85/D346</f>
        <v>75443.448275862072</v>
      </c>
      <c r="E95" s="4">
        <f t="shared" ref="E95" si="196">E85/E346</f>
        <v>85856.925925925927</v>
      </c>
      <c r="F95" s="4">
        <f t="shared" si="195"/>
        <v>88128.074074074073</v>
      </c>
      <c r="G95" s="4">
        <f t="shared" si="195"/>
        <v>101429.37037037036</v>
      </c>
      <c r="H95" s="4">
        <f t="shared" si="195"/>
        <v>114652.74074074074</v>
      </c>
      <c r="I95" s="4">
        <f t="shared" si="195"/>
        <v>132534.85185185185</v>
      </c>
      <c r="J95" s="4">
        <f t="shared" si="195"/>
        <v>145304.48148148149</v>
      </c>
      <c r="K95" s="4">
        <f t="shared" si="195"/>
        <v>136435.25925925927</v>
      </c>
      <c r="L95" s="4">
        <f t="shared" si="195"/>
        <v>142322.03703703705</v>
      </c>
      <c r="M95" s="4">
        <f t="shared" si="195"/>
        <v>139030.11111111112</v>
      </c>
      <c r="N95" s="4">
        <f t="shared" si="195"/>
        <v>134407.70370370371</v>
      </c>
      <c r="O95" s="4">
        <f t="shared" si="195"/>
        <v>134809.25</v>
      </c>
      <c r="P95" s="4">
        <f t="shared" si="195"/>
        <v>140583.03571428571</v>
      </c>
      <c r="Q95" s="4">
        <f t="shared" si="195"/>
        <v>139764.32142857142</v>
      </c>
      <c r="R95" s="4">
        <f t="shared" si="195"/>
        <v>138889.89655172414</v>
      </c>
      <c r="S95" s="4">
        <f t="shared" si="195"/>
        <v>147705.55172413794</v>
      </c>
      <c r="T95" s="4">
        <f t="shared" si="195"/>
        <v>140861.90322580645</v>
      </c>
      <c r="U95" s="4">
        <f t="shared" si="195"/>
        <v>145264.90322580645</v>
      </c>
      <c r="V95" s="4">
        <f t="shared" si="195"/>
        <v>143779.80645161291</v>
      </c>
      <c r="W95" s="4">
        <f t="shared" si="195"/>
        <v>141433.38709677418</v>
      </c>
      <c r="X95" s="4">
        <f t="shared" si="195"/>
        <v>142848.03225806452</v>
      </c>
      <c r="Y95" s="4">
        <f t="shared" si="195"/>
        <v>146345.06666666668</v>
      </c>
      <c r="Z95" s="4">
        <f t="shared" si="195"/>
        <v>160590.27586206896</v>
      </c>
      <c r="AA95" s="4">
        <f t="shared" si="195"/>
        <v>165506.62068965516</v>
      </c>
      <c r="AB95" s="4">
        <f t="shared" si="195"/>
        <v>168716.13793103449</v>
      </c>
      <c r="AC95" s="4">
        <f t="shared" si="195"/>
        <v>157658.24137931035</v>
      </c>
      <c r="AD95" s="4">
        <f t="shared" si="195"/>
        <v>147786.27586206896</v>
      </c>
      <c r="AE95" s="4">
        <f t="shared" si="195"/>
        <v>154424.20689655171</v>
      </c>
      <c r="AF95" s="4">
        <f t="shared" si="195"/>
        <v>161702.65384615384</v>
      </c>
      <c r="AG95" s="4">
        <f t="shared" si="195"/>
        <v>146752.46153846153</v>
      </c>
      <c r="AH95" s="4">
        <f t="shared" si="195"/>
        <v>139945.73076923078</v>
      </c>
      <c r="AI95" s="4">
        <f t="shared" si="195"/>
        <v>142923.07999999999</v>
      </c>
      <c r="AJ95" s="4">
        <f t="shared" si="195"/>
        <v>143051.16</v>
      </c>
      <c r="AK95" s="4">
        <f t="shared" si="195"/>
        <v>148886.35999999999</v>
      </c>
      <c r="AL95" s="4">
        <f t="shared" si="195"/>
        <v>156043.76</v>
      </c>
      <c r="AM95" s="4">
        <f t="shared" si="195"/>
        <v>145642.64000000001</v>
      </c>
      <c r="AN95" s="4">
        <f t="shared" si="195"/>
        <v>141071.42307692306</v>
      </c>
      <c r="AO95" s="4">
        <f t="shared" si="195"/>
        <v>138722.88461538462</v>
      </c>
      <c r="AP95" s="4">
        <f t="shared" si="195"/>
        <v>136627.73076923078</v>
      </c>
      <c r="AQ95" s="4">
        <f t="shared" si="195"/>
        <v>142285</v>
      </c>
      <c r="AR95" s="4">
        <f t="shared" ref="AR95" si="197">AR85/AR346</f>
        <v>131052.90476190476</v>
      </c>
      <c r="AS95" s="4">
        <v>117113</v>
      </c>
      <c r="AT95" s="9">
        <f t="shared" ref="AT95:AY95" si="198">SUM(AT89:AT94)</f>
        <v>112192</v>
      </c>
      <c r="AU95" s="9">
        <f t="shared" si="198"/>
        <v>109704</v>
      </c>
      <c r="AV95" s="9">
        <f t="shared" si="198"/>
        <v>112731</v>
      </c>
      <c r="AW95" s="9">
        <f t="shared" si="198"/>
        <v>112463</v>
      </c>
      <c r="AX95" s="9">
        <f t="shared" si="198"/>
        <v>116645</v>
      </c>
      <c r="AY95" s="9">
        <f t="shared" si="198"/>
        <v>104070</v>
      </c>
    </row>
    <row r="96" spans="1:51">
      <c r="A96" s="14"/>
      <c r="C96" s="10" t="s">
        <v>12</v>
      </c>
      <c r="D96" s="8">
        <f t="shared" ref="D96:AQ96" si="199">D95/D329*100</f>
        <v>2.0394872989979027</v>
      </c>
      <c r="E96" s="8">
        <f t="shared" ref="E96" si="200">E95/E329*100</f>
        <v>2.0973680400991626</v>
      </c>
      <c r="F96" s="8">
        <f t="shared" si="199"/>
        <v>2.0778207602364716</v>
      </c>
      <c r="G96" s="8">
        <f t="shared" si="199"/>
        <v>1.9823903696089642</v>
      </c>
      <c r="H96" s="8">
        <f t="shared" si="199"/>
        <v>1.9378772065702869</v>
      </c>
      <c r="I96" s="8">
        <f t="shared" si="199"/>
        <v>2.0741949896812826</v>
      </c>
      <c r="J96" s="8">
        <f t="shared" si="199"/>
        <v>2.1080741818048638</v>
      </c>
      <c r="K96" s="8">
        <f t="shared" si="199"/>
        <v>1.9465357270817572</v>
      </c>
      <c r="L96" s="8">
        <f t="shared" si="199"/>
        <v>2.0414366545610614</v>
      </c>
      <c r="M96" s="8">
        <f t="shared" si="199"/>
        <v>1.7933427104891455</v>
      </c>
      <c r="N96" s="8">
        <f t="shared" si="199"/>
        <v>1.6891080002755441</v>
      </c>
      <c r="O96" s="8">
        <f t="shared" si="199"/>
        <v>1.6872545063174327</v>
      </c>
      <c r="P96" s="8">
        <f t="shared" si="199"/>
        <v>1.6176220937756238</v>
      </c>
      <c r="Q96" s="8">
        <f t="shared" si="199"/>
        <v>1.6017003214716579</v>
      </c>
      <c r="R96" s="8">
        <f t="shared" si="199"/>
        <v>1.6720769680125525</v>
      </c>
      <c r="S96" s="8">
        <f t="shared" si="199"/>
        <v>1.6212772159321782</v>
      </c>
      <c r="T96" s="8">
        <f t="shared" si="199"/>
        <v>1.5723185031520968</v>
      </c>
      <c r="U96" s="8">
        <f t="shared" si="199"/>
        <v>1.5609899311980753</v>
      </c>
      <c r="V96" s="8">
        <f t="shared" si="199"/>
        <v>1.1345820190809188</v>
      </c>
      <c r="W96" s="8">
        <f t="shared" si="199"/>
        <v>1.3340193480065039</v>
      </c>
      <c r="X96" s="8">
        <f t="shared" si="199"/>
        <v>1.2503192051712109</v>
      </c>
      <c r="Y96" s="8">
        <f t="shared" si="199"/>
        <v>1.3024662003151433</v>
      </c>
      <c r="Z96" s="8">
        <f t="shared" si="199"/>
        <v>1.395725307096592</v>
      </c>
      <c r="AA96" s="8">
        <f t="shared" si="199"/>
        <v>1.409001527693452</v>
      </c>
      <c r="AB96" s="8">
        <f t="shared" si="199"/>
        <v>1.3954485957644811</v>
      </c>
      <c r="AC96" s="8">
        <f t="shared" si="199"/>
        <v>1.3448069922602013</v>
      </c>
      <c r="AD96" s="8">
        <f t="shared" si="199"/>
        <v>1.4089899917144866</v>
      </c>
      <c r="AE96" s="8">
        <f t="shared" si="199"/>
        <v>1.3628011198231889</v>
      </c>
      <c r="AF96" s="8">
        <f t="shared" si="199"/>
        <v>1.1785742683940608</v>
      </c>
      <c r="AG96" s="8">
        <f t="shared" si="199"/>
        <v>0.96184998156848533</v>
      </c>
      <c r="AH96" s="8">
        <f t="shared" si="199"/>
        <v>0.8682732503457814</v>
      </c>
      <c r="AI96" s="8">
        <f t="shared" si="199"/>
        <v>0.88232902303780825</v>
      </c>
      <c r="AJ96" s="8">
        <f t="shared" si="199"/>
        <v>0.86090046258933184</v>
      </c>
      <c r="AK96" s="8">
        <f t="shared" si="199"/>
        <v>0.86143412212163617</v>
      </c>
      <c r="AL96" s="8">
        <f t="shared" si="199"/>
        <v>0.83588668134390609</v>
      </c>
      <c r="AM96" s="8">
        <f t="shared" si="199"/>
        <v>0.85912652940862577</v>
      </c>
      <c r="AN96" s="8">
        <f t="shared" si="199"/>
        <v>0.83567253110273765</v>
      </c>
      <c r="AO96" s="8">
        <f t="shared" si="199"/>
        <v>0.80402747613671</v>
      </c>
      <c r="AP96" s="8">
        <f t="shared" si="199"/>
        <v>0.75236315514195062</v>
      </c>
      <c r="AQ96" s="8">
        <f t="shared" si="199"/>
        <v>0.78464359119401417</v>
      </c>
      <c r="AR96" s="8">
        <f t="shared" ref="AR96:AW96" si="201">AR95/AR329*100</f>
        <v>0.78263236828786542</v>
      </c>
      <c r="AS96" s="8">
        <f t="shared" si="201"/>
        <v>0.70885807849955118</v>
      </c>
      <c r="AT96" s="40">
        <f t="shared" si="201"/>
        <v>0.66124593902900675</v>
      </c>
      <c r="AU96" s="40">
        <f t="shared" ref="AU96:AV96" si="202">AU95/AU329*100</f>
        <v>0.63204337427281421</v>
      </c>
      <c r="AV96" s="40">
        <f t="shared" si="202"/>
        <v>0.63666369366171749</v>
      </c>
      <c r="AW96" s="40">
        <f t="shared" si="201"/>
        <v>0.62934964960523232</v>
      </c>
      <c r="AX96" s="40">
        <f t="shared" ref="AX96:AY96" si="203">AX95/AX329*100</f>
        <v>0.62925997393902799</v>
      </c>
      <c r="AY96" s="40">
        <f t="shared" si="203"/>
        <v>0.54212419072967755</v>
      </c>
    </row>
    <row r="97" spans="1:51">
      <c r="A97" s="1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AQ97" s="4"/>
      <c r="AR97" s="4"/>
      <c r="AS97" s="4"/>
      <c r="AT97" s="4"/>
      <c r="AU97" s="4"/>
      <c r="AV97" s="4"/>
      <c r="AW97" s="4"/>
      <c r="AX97" s="4"/>
      <c r="AY97" s="4"/>
    </row>
    <row r="98" spans="1:51" s="22" customFormat="1">
      <c r="A98" s="21" t="s">
        <v>0</v>
      </c>
      <c r="B98" s="22" t="s">
        <v>2</v>
      </c>
      <c r="C98" s="22" t="s">
        <v>8</v>
      </c>
      <c r="D98" s="23">
        <v>664445</v>
      </c>
      <c r="E98" s="23">
        <v>757915</v>
      </c>
      <c r="F98" s="23">
        <v>884559</v>
      </c>
      <c r="G98" s="23">
        <v>1093162</v>
      </c>
      <c r="H98" s="23">
        <v>1196092</v>
      </c>
      <c r="I98" s="23">
        <v>1380519</v>
      </c>
      <c r="J98" s="23">
        <v>1457606</v>
      </c>
      <c r="K98" s="23">
        <v>1454629</v>
      </c>
      <c r="L98" s="23">
        <f>680006+587317</f>
        <v>1267323</v>
      </c>
      <c r="M98" s="23">
        <f>772909+559289</f>
        <v>1332198</v>
      </c>
      <c r="N98" s="23">
        <f>737332+541486</f>
        <v>1278818</v>
      </c>
      <c r="O98" s="23">
        <f>714344+520750</f>
        <v>1235094</v>
      </c>
      <c r="P98" s="23">
        <f>766575+633462</f>
        <v>1400037</v>
      </c>
      <c r="Q98" s="23">
        <f>780797+553792</f>
        <v>1334589</v>
      </c>
      <c r="R98" s="23">
        <f>836426+586251</f>
        <v>1422677</v>
      </c>
      <c r="S98" s="23">
        <f>812194+552078</f>
        <v>1364272</v>
      </c>
      <c r="T98" s="23">
        <f>770308+500333</f>
        <v>1270641</v>
      </c>
      <c r="U98" s="23">
        <f>784905+510358</f>
        <v>1295263</v>
      </c>
      <c r="V98" s="23">
        <f>744106+493692</f>
        <v>1237798</v>
      </c>
      <c r="W98" s="23">
        <f>711772+481663</f>
        <v>1193435</v>
      </c>
      <c r="X98" s="23">
        <f>799096+458687</f>
        <v>1257783</v>
      </c>
      <c r="Y98" s="23">
        <f>759906+414142</f>
        <v>1174048</v>
      </c>
      <c r="Z98" s="23">
        <f>764860+427631</f>
        <v>1192491</v>
      </c>
      <c r="AA98" s="23">
        <f>705692+446638</f>
        <v>1152330</v>
      </c>
      <c r="AB98" s="23">
        <f>702011+358403</f>
        <v>1060414</v>
      </c>
      <c r="AC98" s="23">
        <f>670202+377419</f>
        <v>1047621</v>
      </c>
      <c r="AD98" s="23">
        <v>1084469</v>
      </c>
      <c r="AE98" s="23">
        <v>997731</v>
      </c>
      <c r="AF98" s="23">
        <v>748352</v>
      </c>
      <c r="AG98" s="23">
        <v>615031</v>
      </c>
      <c r="AH98" s="23">
        <v>658761</v>
      </c>
      <c r="AI98" s="23">
        <v>567062</v>
      </c>
      <c r="AJ98" s="23">
        <v>525324</v>
      </c>
      <c r="AK98" s="23">
        <v>508388</v>
      </c>
      <c r="AL98" s="23">
        <v>546770</v>
      </c>
      <c r="AM98" s="23">
        <v>482331</v>
      </c>
      <c r="AN98" s="23">
        <v>433241</v>
      </c>
      <c r="AO98" s="23">
        <v>388957</v>
      </c>
      <c r="AP98" s="23">
        <v>360731</v>
      </c>
      <c r="AQ98" s="23">
        <v>331345</v>
      </c>
      <c r="AR98" s="23">
        <v>325681</v>
      </c>
      <c r="AS98" s="23">
        <v>290978</v>
      </c>
      <c r="AT98" s="23">
        <v>273914</v>
      </c>
      <c r="AU98" s="23">
        <v>267596</v>
      </c>
      <c r="AV98" s="23">
        <v>255675</v>
      </c>
      <c r="AW98" s="23">
        <v>285968</v>
      </c>
      <c r="AX98" s="23">
        <v>288593</v>
      </c>
      <c r="AY98" s="23">
        <v>273108</v>
      </c>
    </row>
    <row r="99" spans="1:51">
      <c r="A99" s="14"/>
      <c r="B99" s="3" t="s">
        <v>21</v>
      </c>
      <c r="C99" s="3" t="s">
        <v>9</v>
      </c>
      <c r="D99" s="4">
        <v>340084</v>
      </c>
      <c r="E99" s="4">
        <v>451272</v>
      </c>
      <c r="F99" s="4">
        <v>526794</v>
      </c>
      <c r="G99" s="4">
        <v>578778</v>
      </c>
      <c r="H99" s="4">
        <v>598783</v>
      </c>
      <c r="I99" s="4">
        <v>734340</v>
      </c>
      <c r="J99" s="4">
        <v>909711</v>
      </c>
      <c r="K99" s="4">
        <f>212853+793600</f>
        <v>1006453</v>
      </c>
      <c r="L99" s="4">
        <f>227271+863587</f>
        <v>1090858</v>
      </c>
      <c r="M99" s="4">
        <f>238287+804829</f>
        <v>1043116</v>
      </c>
      <c r="N99" s="4">
        <f>245507+848223</f>
        <v>1093730</v>
      </c>
      <c r="O99" s="4">
        <f>242404+814777</f>
        <v>1057181</v>
      </c>
      <c r="P99" s="4">
        <f>237798+780006</f>
        <v>1017804</v>
      </c>
      <c r="Q99" s="4">
        <f>237921+805773</f>
        <v>1043694</v>
      </c>
      <c r="R99" s="4">
        <f>256145+792975</f>
        <v>1049120</v>
      </c>
      <c r="S99" s="4">
        <f>271800+906907</f>
        <v>1178707</v>
      </c>
      <c r="T99" s="4">
        <f>278633+962169</f>
        <v>1240802</v>
      </c>
      <c r="U99" s="4">
        <f>298171+1016778</f>
        <v>1314949</v>
      </c>
      <c r="V99" s="4">
        <f>306835+1023979</f>
        <v>1330814</v>
      </c>
      <c r="W99" s="4">
        <f>294550+893219</f>
        <v>1187769</v>
      </c>
      <c r="X99" s="4">
        <f>306681+875648</f>
        <v>1182329</v>
      </c>
      <c r="Y99" s="4">
        <f>310347+985740</f>
        <v>1296087</v>
      </c>
      <c r="Z99" s="4">
        <f>306240+1150625</f>
        <v>1456865</v>
      </c>
      <c r="AA99" s="4">
        <f>322431+1310129</f>
        <v>1632560</v>
      </c>
      <c r="AB99" s="4">
        <f>316035+1359785</f>
        <v>1675820</v>
      </c>
      <c r="AC99" s="4">
        <f>321654+1218030</f>
        <v>1539684</v>
      </c>
      <c r="AD99" s="4">
        <v>1461466</v>
      </c>
      <c r="AE99" s="4">
        <v>1478739</v>
      </c>
      <c r="AF99" s="4">
        <v>1034690</v>
      </c>
      <c r="AG99" s="4">
        <v>845664</v>
      </c>
      <c r="AH99" s="4">
        <v>714853</v>
      </c>
      <c r="AI99" s="4">
        <v>562040</v>
      </c>
      <c r="AJ99" s="4">
        <v>497239</v>
      </c>
      <c r="AK99" s="4">
        <v>438083</v>
      </c>
      <c r="AL99" s="4">
        <v>412102</v>
      </c>
      <c r="AM99" s="4">
        <v>366504</v>
      </c>
      <c r="AN99" s="4">
        <v>320463</v>
      </c>
      <c r="AO99" s="4">
        <v>259184</v>
      </c>
      <c r="AP99" s="4">
        <v>250011</v>
      </c>
      <c r="AQ99" s="4">
        <v>233185</v>
      </c>
      <c r="AR99" s="4">
        <v>226445</v>
      </c>
      <c r="AS99" s="4">
        <v>190493</v>
      </c>
      <c r="AT99" s="4">
        <v>170501</v>
      </c>
      <c r="AU99" s="4">
        <v>167023</v>
      </c>
      <c r="AV99" s="4">
        <v>159876</v>
      </c>
      <c r="AW99" s="4">
        <v>141530</v>
      </c>
      <c r="AX99" s="4">
        <v>138083</v>
      </c>
      <c r="AY99" s="4">
        <v>134636</v>
      </c>
    </row>
    <row r="100" spans="1:51">
      <c r="A100" s="14"/>
      <c r="C100" s="3" t="s">
        <v>11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AG100" s="4">
        <v>202343</v>
      </c>
      <c r="AH100" s="4">
        <v>240494</v>
      </c>
      <c r="AI100" s="4">
        <v>382257</v>
      </c>
      <c r="AJ100" s="4">
        <v>432598</v>
      </c>
      <c r="AK100" s="4">
        <v>487364</v>
      </c>
      <c r="AL100" s="4">
        <v>530731</v>
      </c>
      <c r="AM100" s="4">
        <v>507464</v>
      </c>
      <c r="AN100" s="4">
        <v>519336</v>
      </c>
      <c r="AO100" s="4">
        <v>546458</v>
      </c>
      <c r="AP100" s="4">
        <v>584453</v>
      </c>
      <c r="AQ100" s="4">
        <v>673105</v>
      </c>
      <c r="AR100" s="4">
        <v>768840</v>
      </c>
      <c r="AS100" s="4">
        <v>781537</v>
      </c>
      <c r="AT100" s="4">
        <v>838051</v>
      </c>
      <c r="AU100" s="4">
        <v>879780</v>
      </c>
      <c r="AV100" s="4">
        <v>863128</v>
      </c>
      <c r="AW100" s="4">
        <v>891712</v>
      </c>
      <c r="AX100" s="4">
        <v>904945</v>
      </c>
      <c r="AY100" s="4">
        <v>1021052</v>
      </c>
    </row>
    <row r="101" spans="1:51">
      <c r="A101" s="14"/>
      <c r="C101" s="3" t="s">
        <v>26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AM101" s="4">
        <v>32342</v>
      </c>
      <c r="AN101" s="4">
        <v>15056</v>
      </c>
      <c r="AO101" s="4">
        <v>14154</v>
      </c>
      <c r="AP101" s="4">
        <v>27712</v>
      </c>
      <c r="AQ101" s="4">
        <v>17740</v>
      </c>
      <c r="AR101" s="4">
        <v>37079</v>
      </c>
      <c r="AS101" s="4">
        <v>21934</v>
      </c>
      <c r="AT101" s="4">
        <v>22991</v>
      </c>
      <c r="AU101" s="4">
        <v>25956</v>
      </c>
      <c r="AV101" s="4">
        <v>32057</v>
      </c>
      <c r="AW101" s="4">
        <v>56206</v>
      </c>
      <c r="AX101" s="4">
        <v>70075</v>
      </c>
      <c r="AY101" s="4">
        <v>61542</v>
      </c>
    </row>
    <row r="102" spans="1:51">
      <c r="A102" s="14"/>
      <c r="C102" s="3" t="s">
        <v>24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AM102" s="4">
        <v>122581</v>
      </c>
      <c r="AN102" s="4">
        <v>124408</v>
      </c>
      <c r="AO102" s="4">
        <v>131983</v>
      </c>
      <c r="AP102" s="4">
        <v>149462</v>
      </c>
      <c r="AQ102" s="4">
        <v>158705</v>
      </c>
      <c r="AR102" s="4">
        <v>190227</v>
      </c>
      <c r="AS102" s="4">
        <v>198633</v>
      </c>
      <c r="AT102" s="4">
        <v>217082</v>
      </c>
      <c r="AU102" s="4">
        <v>206066</v>
      </c>
      <c r="AV102" s="4">
        <v>210097</v>
      </c>
      <c r="AW102" s="4">
        <v>220475</v>
      </c>
      <c r="AX102" s="4">
        <v>209094</v>
      </c>
      <c r="AY102" s="4">
        <v>230951</v>
      </c>
    </row>
    <row r="103" spans="1:51">
      <c r="A103" s="14"/>
      <c r="C103" s="3" t="s">
        <v>10</v>
      </c>
      <c r="D103" s="4">
        <v>39252</v>
      </c>
      <c r="E103" s="4">
        <v>42879</v>
      </c>
      <c r="F103" s="4">
        <v>63045</v>
      </c>
      <c r="G103" s="4">
        <v>89616</v>
      </c>
      <c r="H103" s="4">
        <v>89175</v>
      </c>
      <c r="I103" s="4">
        <v>108917</v>
      </c>
      <c r="J103" s="4">
        <v>116979</v>
      </c>
      <c r="K103" s="4">
        <v>128613</v>
      </c>
      <c r="L103" s="4">
        <v>132187</v>
      </c>
      <c r="M103" s="4">
        <v>117553</v>
      </c>
      <c r="N103" s="4">
        <v>126699</v>
      </c>
      <c r="O103" s="4">
        <v>151903</v>
      </c>
      <c r="P103" s="4">
        <v>166129</v>
      </c>
      <c r="Q103" s="4">
        <v>178072</v>
      </c>
      <c r="R103" s="4">
        <v>184586</v>
      </c>
      <c r="S103" s="4">
        <v>174446</v>
      </c>
      <c r="T103" s="4">
        <v>189399</v>
      </c>
      <c r="U103" s="4">
        <v>238423</v>
      </c>
      <c r="V103" s="4">
        <v>240761</v>
      </c>
      <c r="W103" s="4">
        <v>277531</v>
      </c>
      <c r="X103" s="4">
        <v>278289</v>
      </c>
      <c r="Y103" s="4">
        <v>301240</v>
      </c>
      <c r="Z103" s="4">
        <v>343863</v>
      </c>
      <c r="AA103" s="4">
        <v>344168</v>
      </c>
      <c r="AB103" s="4">
        <v>358467</v>
      </c>
      <c r="AC103" s="4">
        <v>383415</v>
      </c>
      <c r="AD103" s="4">
        <v>339236</v>
      </c>
      <c r="AE103" s="4">
        <v>353171</v>
      </c>
      <c r="AF103" s="4">
        <v>315713</v>
      </c>
      <c r="AG103" s="4">
        <v>241046</v>
      </c>
      <c r="AH103" s="4">
        <v>235277</v>
      </c>
      <c r="AI103" s="4">
        <v>215492</v>
      </c>
      <c r="AJ103" s="4">
        <v>171699</v>
      </c>
      <c r="AK103" s="4">
        <v>191253</v>
      </c>
      <c r="AL103" s="4">
        <v>199972</v>
      </c>
      <c r="AM103" s="4">
        <v>109259</v>
      </c>
      <c r="AN103" s="4">
        <v>76163</v>
      </c>
      <c r="AO103" s="4">
        <v>85843</v>
      </c>
      <c r="AP103" s="4">
        <v>83489</v>
      </c>
      <c r="AQ103" s="4">
        <v>88425</v>
      </c>
      <c r="AR103" s="4">
        <v>73106</v>
      </c>
      <c r="AS103" s="4">
        <v>58113</v>
      </c>
      <c r="AT103" s="4">
        <v>60291</v>
      </c>
      <c r="AU103" s="4">
        <v>64894</v>
      </c>
      <c r="AV103" s="4">
        <v>67454</v>
      </c>
      <c r="AW103" s="4">
        <v>69991</v>
      </c>
      <c r="AX103" s="4">
        <v>55909</v>
      </c>
      <c r="AY103" s="4">
        <v>52667</v>
      </c>
    </row>
    <row r="104" spans="1:51">
      <c r="A104" s="14"/>
      <c r="C104" s="3" t="s">
        <v>17</v>
      </c>
      <c r="D104" s="4">
        <v>1043781</v>
      </c>
      <c r="E104" s="4">
        <v>1252066</v>
      </c>
      <c r="F104" s="4">
        <v>1474398</v>
      </c>
      <c r="G104" s="4">
        <v>1761556</v>
      </c>
      <c r="H104" s="4">
        <v>1884050</v>
      </c>
      <c r="I104" s="4">
        <v>2223776</v>
      </c>
      <c r="J104" s="4">
        <v>2484296</v>
      </c>
      <c r="K104" s="4">
        <v>2589695</v>
      </c>
      <c r="L104" s="4">
        <v>2490368</v>
      </c>
      <c r="M104" s="4">
        <v>2492867</v>
      </c>
      <c r="N104" s="4">
        <v>2499247</v>
      </c>
      <c r="O104" s="4">
        <v>2444178</v>
      </c>
      <c r="P104" s="4">
        <v>2583970</v>
      </c>
      <c r="Q104" s="4">
        <v>2556355</v>
      </c>
      <c r="R104" s="4">
        <v>2656383</v>
      </c>
      <c r="S104" s="4">
        <v>2717425</v>
      </c>
      <c r="T104" s="4">
        <v>2700842</v>
      </c>
      <c r="U104" s="4">
        <v>2848635</v>
      </c>
      <c r="V104" s="4">
        <v>2809373</v>
      </c>
      <c r="W104" s="4">
        <v>2658735</v>
      </c>
      <c r="X104" s="4">
        <v>2718401</v>
      </c>
      <c r="Y104" s="4">
        <v>2771375</v>
      </c>
      <c r="Z104" s="4">
        <v>2993219</v>
      </c>
      <c r="AA104" s="4">
        <v>3129058</v>
      </c>
      <c r="AB104" s="4">
        <v>3094701</v>
      </c>
      <c r="AC104" s="4">
        <v>2970720</v>
      </c>
      <c r="AD104" s="4">
        <v>2885171</v>
      </c>
      <c r="AE104" s="4">
        <v>2829641</v>
      </c>
      <c r="AF104" s="4">
        <v>2098755</v>
      </c>
      <c r="AG104" s="4">
        <v>1904084</v>
      </c>
      <c r="AH104" s="4">
        <v>1849385</v>
      </c>
      <c r="AI104" s="4">
        <v>1726851</v>
      </c>
      <c r="AJ104" s="4">
        <v>1626860</v>
      </c>
      <c r="AK104" s="4">
        <v>1625088</v>
      </c>
      <c r="AL104" s="4">
        <v>1689575</v>
      </c>
      <c r="AM104" s="4">
        <v>1620481</v>
      </c>
      <c r="AN104" s="4">
        <v>1488667</v>
      </c>
      <c r="AO104" s="4">
        <v>1426579</v>
      </c>
      <c r="AP104" s="4">
        <v>1455858</v>
      </c>
      <c r="AQ104" s="4">
        <v>1502505</v>
      </c>
      <c r="AR104" s="4">
        <v>1621378</v>
      </c>
      <c r="AS104" s="4">
        <v>1541688</v>
      </c>
      <c r="AT104" s="9">
        <f t="shared" ref="AT104:AY104" si="204">SUM(AT98:AT103)</f>
        <v>1582830</v>
      </c>
      <c r="AU104" s="9">
        <f t="shared" si="204"/>
        <v>1611315</v>
      </c>
      <c r="AV104" s="9">
        <f t="shared" si="204"/>
        <v>1588287</v>
      </c>
      <c r="AW104" s="9">
        <f t="shared" si="204"/>
        <v>1665882</v>
      </c>
      <c r="AX104" s="9">
        <f t="shared" si="204"/>
        <v>1666699</v>
      </c>
      <c r="AY104" s="9">
        <f t="shared" si="204"/>
        <v>1773956</v>
      </c>
    </row>
    <row r="105" spans="1:51">
      <c r="A105" s="14"/>
      <c r="C105" s="10" t="s">
        <v>12</v>
      </c>
      <c r="D105" s="8">
        <f t="shared" ref="D105:AQ105" si="205">D104/D312*100</f>
        <v>2.3001917228612982</v>
      </c>
      <c r="E105" s="8">
        <f t="shared" ref="E105" si="206">E104/E312*100</f>
        <v>2.3062552956345552</v>
      </c>
      <c r="F105" s="8">
        <f t="shared" si="205"/>
        <v>2.1308484962351684</v>
      </c>
      <c r="G105" s="8">
        <f t="shared" si="205"/>
        <v>1.9171937920376132</v>
      </c>
      <c r="H105" s="8">
        <f t="shared" si="205"/>
        <v>1.6233341438587594</v>
      </c>
      <c r="I105" s="8">
        <f t="shared" si="205"/>
        <v>1.8952393320728838</v>
      </c>
      <c r="J105" s="8">
        <f t="shared" si="205"/>
        <v>1.7567366482761411</v>
      </c>
      <c r="K105" s="8">
        <f t="shared" si="205"/>
        <v>1.7554620449148886</v>
      </c>
      <c r="L105" s="8">
        <f t="shared" si="205"/>
        <v>1.5310819908876088</v>
      </c>
      <c r="M105" s="8">
        <f t="shared" si="205"/>
        <v>1.384367526505097</v>
      </c>
      <c r="N105" s="8">
        <f t="shared" si="205"/>
        <v>1.2984062051843464</v>
      </c>
      <c r="O105" s="8">
        <f t="shared" si="205"/>
        <v>1.3347112404164994</v>
      </c>
      <c r="P105" s="8">
        <f t="shared" si="205"/>
        <v>1.2276100730300599</v>
      </c>
      <c r="Q105" s="8">
        <f t="shared" si="205"/>
        <v>1.272725018747185</v>
      </c>
      <c r="R105" s="8">
        <f t="shared" si="205"/>
        <v>1.1786818850658802</v>
      </c>
      <c r="S105" s="8">
        <f t="shared" si="205"/>
        <v>1.1854309874026672</v>
      </c>
      <c r="T105" s="8">
        <f t="shared" si="205"/>
        <v>1.097996380871898</v>
      </c>
      <c r="U105" s="8">
        <f t="shared" si="205"/>
        <v>1.1098428727486029</v>
      </c>
      <c r="V105" s="8">
        <f t="shared" si="205"/>
        <v>0.99938757663571753</v>
      </c>
      <c r="W105" s="8">
        <f t="shared" si="205"/>
        <v>0.97143478217389967</v>
      </c>
      <c r="X105" s="8">
        <f t="shared" si="205"/>
        <v>0.93549534174491911</v>
      </c>
      <c r="Y105" s="8">
        <f t="shared" si="205"/>
        <v>0.96039936950047788</v>
      </c>
      <c r="Z105" s="8">
        <f t="shared" si="205"/>
        <v>1.0153667447343906</v>
      </c>
      <c r="AA105" s="8">
        <f t="shared" si="205"/>
        <v>0.99906243448164478</v>
      </c>
      <c r="AB105" s="8">
        <f t="shared" si="205"/>
        <v>1.0143204685012543</v>
      </c>
      <c r="AC105" s="8">
        <f t="shared" si="205"/>
        <v>0.98872345641361459</v>
      </c>
      <c r="AD105" s="8">
        <f t="shared" si="205"/>
        <v>0.95753263568996438</v>
      </c>
      <c r="AE105" s="8">
        <f t="shared" si="205"/>
        <v>0.98030581814089779</v>
      </c>
      <c r="AF105" s="8">
        <f t="shared" si="205"/>
        <v>1.1981195353891041</v>
      </c>
      <c r="AG105" s="8">
        <f t="shared" si="205"/>
        <v>1.0310543386230639</v>
      </c>
      <c r="AH105" s="8">
        <f t="shared" si="205"/>
        <v>0.7891456812122577</v>
      </c>
      <c r="AI105" s="8">
        <f t="shared" si="205"/>
        <v>0.88391382246267547</v>
      </c>
      <c r="AJ105" s="8">
        <f t="shared" si="205"/>
        <v>0.79366033378869705</v>
      </c>
      <c r="AK105" s="8">
        <f t="shared" si="205"/>
        <v>0.78582307642330196</v>
      </c>
      <c r="AL105" s="8">
        <f t="shared" si="205"/>
        <v>0.75541195104158854</v>
      </c>
      <c r="AM105" s="8">
        <f t="shared" si="205"/>
        <v>0.78458429159973631</v>
      </c>
      <c r="AN105" s="8">
        <f t="shared" si="205"/>
        <v>0.72098917897998782</v>
      </c>
      <c r="AO105" s="8">
        <f t="shared" si="205"/>
        <v>0.70811370924896644</v>
      </c>
      <c r="AP105" s="8">
        <f t="shared" si="205"/>
        <v>0.66026608688198618</v>
      </c>
      <c r="AQ105" s="8">
        <f t="shared" si="205"/>
        <v>0.68560372223950716</v>
      </c>
      <c r="AR105" s="8">
        <f t="shared" ref="AR105:AW105" si="207">AR104/AR312*100</f>
        <v>0.72287166900559885</v>
      </c>
      <c r="AS105" s="8">
        <f t="shared" si="207"/>
        <v>0.7064060919264028</v>
      </c>
      <c r="AT105" s="40">
        <f t="shared" si="207"/>
        <v>0.68953634917723772</v>
      </c>
      <c r="AU105" s="40">
        <f t="shared" ref="AU105:AV105" si="208">AU104/AU312*100</f>
        <v>0.68567045661210246</v>
      </c>
      <c r="AV105" s="40">
        <f t="shared" si="208"/>
        <v>0.65682801677161184</v>
      </c>
      <c r="AW105" s="40">
        <f t="shared" si="207"/>
        <v>0.69847032632958361</v>
      </c>
      <c r="AX105" s="40">
        <f t="shared" ref="AX105:AY105" si="209">AX104/AX312*100</f>
        <v>0.6747582839037608</v>
      </c>
      <c r="AY105" s="40">
        <f t="shared" si="209"/>
        <v>0.6984656761752488</v>
      </c>
    </row>
    <row r="106" spans="1:51">
      <c r="A106" s="1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</row>
    <row r="107" spans="1:51" s="2" customFormat="1">
      <c r="A107" s="15"/>
      <c r="C107" s="3"/>
      <c r="D107" s="1">
        <f t="shared" ref="D107:AQ107" si="210">D2</f>
        <v>1975</v>
      </c>
      <c r="E107" s="1">
        <f t="shared" ref="E107" si="211">E2</f>
        <v>76</v>
      </c>
      <c r="F107" s="1">
        <f t="shared" si="210"/>
        <v>77</v>
      </c>
      <c r="G107" s="1">
        <f t="shared" si="210"/>
        <v>78</v>
      </c>
      <c r="H107" s="1">
        <f t="shared" si="210"/>
        <v>79</v>
      </c>
      <c r="I107" s="1">
        <f t="shared" si="210"/>
        <v>80</v>
      </c>
      <c r="J107" s="1">
        <f t="shared" si="210"/>
        <v>81</v>
      </c>
      <c r="K107" s="1">
        <f t="shared" si="210"/>
        <v>82</v>
      </c>
      <c r="L107" s="1">
        <f t="shared" si="210"/>
        <v>83</v>
      </c>
      <c r="M107" s="1">
        <f t="shared" si="210"/>
        <v>84</v>
      </c>
      <c r="N107" s="1">
        <f t="shared" si="210"/>
        <v>85</v>
      </c>
      <c r="O107" s="1">
        <f t="shared" si="210"/>
        <v>86</v>
      </c>
      <c r="P107" s="1">
        <f t="shared" si="210"/>
        <v>87</v>
      </c>
      <c r="Q107" s="1">
        <f t="shared" si="210"/>
        <v>88</v>
      </c>
      <c r="R107" s="1">
        <f t="shared" si="210"/>
        <v>89</v>
      </c>
      <c r="S107" s="1" t="str">
        <f t="shared" si="210"/>
        <v>90</v>
      </c>
      <c r="T107" s="1" t="str">
        <f t="shared" si="210"/>
        <v>91</v>
      </c>
      <c r="U107" s="1" t="str">
        <f t="shared" si="210"/>
        <v>92</v>
      </c>
      <c r="V107" s="1" t="str">
        <f t="shared" si="210"/>
        <v>93</v>
      </c>
      <c r="W107" s="1" t="str">
        <f t="shared" si="210"/>
        <v>94</v>
      </c>
      <c r="X107" s="1" t="str">
        <f t="shared" si="210"/>
        <v>95</v>
      </c>
      <c r="Y107" s="1" t="str">
        <f t="shared" si="210"/>
        <v>96</v>
      </c>
      <c r="Z107" s="1" t="str">
        <f t="shared" si="210"/>
        <v>97</v>
      </c>
      <c r="AA107" s="1" t="str">
        <f t="shared" si="210"/>
        <v>98</v>
      </c>
      <c r="AB107" s="1" t="str">
        <f t="shared" si="210"/>
        <v>99</v>
      </c>
      <c r="AC107" s="1" t="str">
        <f t="shared" si="210"/>
        <v>2000</v>
      </c>
      <c r="AD107" s="1" t="str">
        <f t="shared" si="210"/>
        <v>01</v>
      </c>
      <c r="AE107" s="1" t="str">
        <f t="shared" si="210"/>
        <v>02</v>
      </c>
      <c r="AF107" s="1" t="str">
        <f t="shared" si="210"/>
        <v>03</v>
      </c>
      <c r="AG107" s="1" t="str">
        <f t="shared" si="210"/>
        <v>04</v>
      </c>
      <c r="AH107" s="1" t="str">
        <f t="shared" si="210"/>
        <v>05</v>
      </c>
      <c r="AI107" s="1" t="str">
        <f t="shared" si="210"/>
        <v>06</v>
      </c>
      <c r="AJ107" s="1" t="str">
        <f t="shared" si="210"/>
        <v>07</v>
      </c>
      <c r="AK107" s="1" t="str">
        <f t="shared" si="210"/>
        <v>08</v>
      </c>
      <c r="AL107" s="1" t="str">
        <f t="shared" si="210"/>
        <v>09</v>
      </c>
      <c r="AM107" s="1" t="str">
        <f t="shared" si="210"/>
        <v>10</v>
      </c>
      <c r="AN107" s="1" t="str">
        <f t="shared" si="210"/>
        <v>11</v>
      </c>
      <c r="AO107" s="1" t="str">
        <f t="shared" si="210"/>
        <v>12</v>
      </c>
      <c r="AP107" s="1" t="str">
        <f t="shared" si="210"/>
        <v>13</v>
      </c>
      <c r="AQ107" s="1" t="str">
        <f t="shared" si="210"/>
        <v>14</v>
      </c>
      <c r="AR107" s="1" t="str">
        <f t="shared" ref="AR107:AS107" si="212">AR2</f>
        <v>15</v>
      </c>
      <c r="AS107" s="1" t="str">
        <f t="shared" si="212"/>
        <v>16</v>
      </c>
      <c r="AT107" s="1" t="str">
        <f t="shared" ref="AT107" si="213">AT2</f>
        <v>17</v>
      </c>
      <c r="AU107" s="1">
        <v>18</v>
      </c>
      <c r="AV107" s="1">
        <v>19</v>
      </c>
      <c r="AW107" s="1">
        <v>20</v>
      </c>
      <c r="AX107" s="1">
        <v>21</v>
      </c>
      <c r="AY107" s="1">
        <v>22</v>
      </c>
    </row>
    <row r="108" spans="1:51">
      <c r="A108" s="14" t="s">
        <v>0</v>
      </c>
      <c r="B108" s="3" t="s">
        <v>31</v>
      </c>
      <c r="C108" s="3" t="s">
        <v>8</v>
      </c>
      <c r="D108" s="4">
        <f t="shared" ref="D108:AQ108" si="214">D98/D347</f>
        <v>25555.576923076922</v>
      </c>
      <c r="E108" s="4">
        <f t="shared" ref="E108" si="215">E98/E347</f>
        <v>29150.576923076922</v>
      </c>
      <c r="F108" s="4">
        <f t="shared" si="214"/>
        <v>28534.16129032258</v>
      </c>
      <c r="G108" s="4">
        <f t="shared" si="214"/>
        <v>35263.290322580644</v>
      </c>
      <c r="H108" s="4">
        <f t="shared" si="214"/>
        <v>33224.777777777781</v>
      </c>
      <c r="I108" s="4">
        <f t="shared" si="214"/>
        <v>37311.324324324327</v>
      </c>
      <c r="J108" s="4">
        <f t="shared" si="214"/>
        <v>39394.75675675676</v>
      </c>
      <c r="K108" s="4">
        <f t="shared" si="214"/>
        <v>39314.2972972973</v>
      </c>
      <c r="L108" s="4">
        <f t="shared" si="214"/>
        <v>34251.972972972973</v>
      </c>
      <c r="M108" s="4">
        <f t="shared" si="214"/>
        <v>34158.923076923078</v>
      </c>
      <c r="N108" s="4">
        <f t="shared" si="214"/>
        <v>32790.205128205125</v>
      </c>
      <c r="O108" s="4">
        <f t="shared" si="214"/>
        <v>32502.473684210527</v>
      </c>
      <c r="P108" s="4">
        <f t="shared" si="214"/>
        <v>36843.07894736842</v>
      </c>
      <c r="Q108" s="4">
        <f t="shared" si="214"/>
        <v>35120.76315789474</v>
      </c>
      <c r="R108" s="4">
        <f t="shared" si="214"/>
        <v>37438.868421052633</v>
      </c>
      <c r="S108" s="4">
        <f t="shared" si="214"/>
        <v>34981.333333333336</v>
      </c>
      <c r="T108" s="4">
        <f t="shared" si="214"/>
        <v>33437.92105263158</v>
      </c>
      <c r="U108" s="4">
        <f t="shared" si="214"/>
        <v>34085.868421052633</v>
      </c>
      <c r="V108" s="4">
        <f t="shared" si="214"/>
        <v>32573.63157894737</v>
      </c>
      <c r="W108" s="4">
        <f t="shared" si="214"/>
        <v>31406.184210526317</v>
      </c>
      <c r="X108" s="4">
        <f t="shared" si="214"/>
        <v>33099.552631578947</v>
      </c>
      <c r="Y108" s="4">
        <f t="shared" si="214"/>
        <v>30896</v>
      </c>
      <c r="Z108" s="4">
        <f t="shared" si="214"/>
        <v>30576.692307692309</v>
      </c>
      <c r="AA108" s="4">
        <f t="shared" si="214"/>
        <v>29546.923076923078</v>
      </c>
      <c r="AB108" s="4">
        <f t="shared" si="214"/>
        <v>27190.102564102563</v>
      </c>
      <c r="AC108" s="4">
        <f t="shared" si="214"/>
        <v>26862.076923076922</v>
      </c>
      <c r="AD108" s="4">
        <f t="shared" si="214"/>
        <v>27806.897435897437</v>
      </c>
      <c r="AE108" s="4">
        <f t="shared" si="214"/>
        <v>26965.702702702703</v>
      </c>
      <c r="AF108" s="4">
        <f t="shared" si="214"/>
        <v>28782.76923076923</v>
      </c>
      <c r="AG108" s="4">
        <f t="shared" si="214"/>
        <v>23655.038461538461</v>
      </c>
      <c r="AH108" s="4">
        <f t="shared" si="214"/>
        <v>25336.961538461539</v>
      </c>
      <c r="AI108" s="4">
        <f t="shared" si="214"/>
        <v>21002.296296296296</v>
      </c>
      <c r="AJ108" s="4">
        <f t="shared" si="214"/>
        <v>20204.76923076923</v>
      </c>
      <c r="AK108" s="4">
        <f t="shared" si="214"/>
        <v>19553.384615384617</v>
      </c>
      <c r="AL108" s="4">
        <f t="shared" si="214"/>
        <v>21029.615384615383</v>
      </c>
      <c r="AM108" s="4">
        <f t="shared" si="214"/>
        <v>18551.192307692309</v>
      </c>
      <c r="AN108" s="4">
        <f t="shared" si="214"/>
        <v>17329.64</v>
      </c>
      <c r="AO108" s="4">
        <f t="shared" si="214"/>
        <v>15558.28</v>
      </c>
      <c r="AP108" s="4">
        <f t="shared" si="214"/>
        <v>14429.24</v>
      </c>
      <c r="AQ108" s="4">
        <f t="shared" si="214"/>
        <v>13253.8</v>
      </c>
      <c r="AR108" s="4">
        <f t="shared" ref="AR108" si="216">AR98/AR347</f>
        <v>12526.192307692309</v>
      </c>
      <c r="AS108" s="4">
        <v>11191</v>
      </c>
      <c r="AT108" s="9">
        <f t="shared" ref="AT108:AY108" si="217">ROUND(AT98/AT$347,0)</f>
        <v>10145</v>
      </c>
      <c r="AU108" s="9">
        <f t="shared" si="217"/>
        <v>9911</v>
      </c>
      <c r="AV108" s="9">
        <f t="shared" si="217"/>
        <v>9469</v>
      </c>
      <c r="AW108" s="9">
        <f t="shared" si="217"/>
        <v>10591</v>
      </c>
      <c r="AX108" s="9">
        <f t="shared" si="217"/>
        <v>10689</v>
      </c>
      <c r="AY108" s="9">
        <f t="shared" si="217"/>
        <v>9754</v>
      </c>
    </row>
    <row r="109" spans="1:51">
      <c r="A109" s="14"/>
      <c r="B109" s="3" t="s">
        <v>21</v>
      </c>
      <c r="C109" s="3" t="s">
        <v>9</v>
      </c>
      <c r="D109" s="4">
        <f t="shared" ref="D109:AQ109" si="218">D99/D347</f>
        <v>13080.153846153846</v>
      </c>
      <c r="E109" s="4">
        <f t="shared" ref="E109" si="219">E99/E347</f>
        <v>17356.615384615383</v>
      </c>
      <c r="F109" s="4">
        <f t="shared" si="218"/>
        <v>16993.354838709678</v>
      </c>
      <c r="G109" s="4">
        <f t="shared" si="218"/>
        <v>18670.258064516129</v>
      </c>
      <c r="H109" s="4">
        <f t="shared" si="218"/>
        <v>16632.861111111109</v>
      </c>
      <c r="I109" s="4">
        <f t="shared" si="218"/>
        <v>19847.027027027027</v>
      </c>
      <c r="J109" s="4">
        <f t="shared" si="218"/>
        <v>24586.783783783783</v>
      </c>
      <c r="K109" s="4">
        <f t="shared" si="218"/>
        <v>27201.432432432433</v>
      </c>
      <c r="L109" s="4">
        <f t="shared" si="218"/>
        <v>29482.64864864865</v>
      </c>
      <c r="M109" s="4">
        <f t="shared" si="218"/>
        <v>26746.564102564102</v>
      </c>
      <c r="N109" s="4">
        <f t="shared" si="218"/>
        <v>28044.358974358973</v>
      </c>
      <c r="O109" s="4">
        <f t="shared" si="218"/>
        <v>27820.552631578947</v>
      </c>
      <c r="P109" s="4">
        <f t="shared" si="218"/>
        <v>26784.315789473683</v>
      </c>
      <c r="Q109" s="4">
        <f t="shared" si="218"/>
        <v>27465.63157894737</v>
      </c>
      <c r="R109" s="4">
        <f t="shared" si="218"/>
        <v>27608.42105263158</v>
      </c>
      <c r="S109" s="4">
        <f t="shared" si="218"/>
        <v>30223.25641025641</v>
      </c>
      <c r="T109" s="4">
        <f t="shared" si="218"/>
        <v>32652.684210526317</v>
      </c>
      <c r="U109" s="4">
        <f t="shared" si="218"/>
        <v>34603.92105263158</v>
      </c>
      <c r="V109" s="4">
        <f t="shared" si="218"/>
        <v>35021.42105263158</v>
      </c>
      <c r="W109" s="4">
        <f t="shared" si="218"/>
        <v>31257.07894736842</v>
      </c>
      <c r="X109" s="4">
        <f t="shared" si="218"/>
        <v>31113.92105263158</v>
      </c>
      <c r="Y109" s="4">
        <f t="shared" si="218"/>
        <v>34107.552631578947</v>
      </c>
      <c r="Z109" s="4">
        <f t="shared" si="218"/>
        <v>37355.51282051282</v>
      </c>
      <c r="AA109" s="4">
        <f t="shared" si="218"/>
        <v>41860.51282051282</v>
      </c>
      <c r="AB109" s="4">
        <f t="shared" si="218"/>
        <v>42969.743589743586</v>
      </c>
      <c r="AC109" s="4">
        <f t="shared" si="218"/>
        <v>39479.076923076922</v>
      </c>
      <c r="AD109" s="4">
        <f t="shared" si="218"/>
        <v>37473.48717948718</v>
      </c>
      <c r="AE109" s="4">
        <f t="shared" si="218"/>
        <v>39965.91891891892</v>
      </c>
      <c r="AF109" s="4">
        <f t="shared" si="218"/>
        <v>39795.769230769234</v>
      </c>
      <c r="AG109" s="4">
        <f t="shared" si="218"/>
        <v>32525.538461538461</v>
      </c>
      <c r="AH109" s="4">
        <f t="shared" si="218"/>
        <v>27494.346153846152</v>
      </c>
      <c r="AI109" s="4">
        <f t="shared" si="218"/>
        <v>20816.296296296296</v>
      </c>
      <c r="AJ109" s="4">
        <f t="shared" si="218"/>
        <v>19124.576923076922</v>
      </c>
      <c r="AK109" s="4">
        <f t="shared" si="218"/>
        <v>16849.346153846152</v>
      </c>
      <c r="AL109" s="4">
        <f t="shared" si="218"/>
        <v>15850.076923076924</v>
      </c>
      <c r="AM109" s="4">
        <f t="shared" si="218"/>
        <v>14096.307692307691</v>
      </c>
      <c r="AN109" s="4">
        <f t="shared" si="218"/>
        <v>12818.52</v>
      </c>
      <c r="AO109" s="4">
        <f t="shared" si="218"/>
        <v>10367.36</v>
      </c>
      <c r="AP109" s="4">
        <f t="shared" si="218"/>
        <v>10000.44</v>
      </c>
      <c r="AQ109" s="4">
        <f t="shared" si="218"/>
        <v>9327.4</v>
      </c>
      <c r="AR109" s="4">
        <f t="shared" ref="AR109" si="220">AR99/AR347</f>
        <v>8709.4230769230762</v>
      </c>
      <c r="AS109" s="4">
        <v>7327</v>
      </c>
      <c r="AT109" s="9">
        <f t="shared" ref="AT109" si="221">ROUND(AT99/AT$347,0)</f>
        <v>6315</v>
      </c>
      <c r="AU109" s="9">
        <f t="shared" ref="AU109:AV109" si="222">ROUND(AU99/AU$347,0)</f>
        <v>6186</v>
      </c>
      <c r="AV109" s="9">
        <f t="shared" si="222"/>
        <v>5921</v>
      </c>
      <c r="AW109" s="9">
        <f t="shared" ref="AW109:AX113" si="223">ROUND(AW99/AW$347,0)</f>
        <v>5242</v>
      </c>
      <c r="AX109" s="9">
        <f t="shared" si="223"/>
        <v>5114</v>
      </c>
      <c r="AY109" s="9">
        <f t="shared" ref="AY109" si="224">ROUND(AY99/AY$347,0)</f>
        <v>4808</v>
      </c>
    </row>
    <row r="110" spans="1:51">
      <c r="A110" s="14"/>
      <c r="C110" s="3" t="s">
        <v>11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AG110" s="4">
        <f t="shared" ref="AG110:AQ110" si="225">AG100/AG347</f>
        <v>7782.4230769230771</v>
      </c>
      <c r="AH110" s="4">
        <f t="shared" si="225"/>
        <v>9249.7692307692305</v>
      </c>
      <c r="AI110" s="4">
        <f t="shared" si="225"/>
        <v>14157.666666666666</v>
      </c>
      <c r="AJ110" s="4">
        <f t="shared" si="225"/>
        <v>16638.384615384617</v>
      </c>
      <c r="AK110" s="4">
        <f t="shared" si="225"/>
        <v>18744.76923076923</v>
      </c>
      <c r="AL110" s="4">
        <f t="shared" si="225"/>
        <v>20412.73076923077</v>
      </c>
      <c r="AM110" s="4">
        <f t="shared" si="225"/>
        <v>19517.846153846152</v>
      </c>
      <c r="AN110" s="4">
        <f t="shared" si="225"/>
        <v>20773.439999999999</v>
      </c>
      <c r="AO110" s="4">
        <f t="shared" si="225"/>
        <v>21858.32</v>
      </c>
      <c r="AP110" s="4">
        <f t="shared" si="225"/>
        <v>23378.12</v>
      </c>
      <c r="AQ110" s="4">
        <f t="shared" si="225"/>
        <v>26924.2</v>
      </c>
      <c r="AR110" s="4">
        <f t="shared" ref="AR110" si="226">AR100/AR347</f>
        <v>29570.76923076923</v>
      </c>
      <c r="AS110" s="4">
        <v>30059</v>
      </c>
      <c r="AT110" s="9">
        <f t="shared" ref="AT110" si="227">ROUND(AT100/AT$347,0)</f>
        <v>31039</v>
      </c>
      <c r="AU110" s="9">
        <f t="shared" ref="AU110:AV110" si="228">ROUND(AU100/AU$347,0)</f>
        <v>32584</v>
      </c>
      <c r="AV110" s="9">
        <f t="shared" si="228"/>
        <v>31968</v>
      </c>
      <c r="AW110" s="9">
        <f t="shared" si="223"/>
        <v>33026</v>
      </c>
      <c r="AX110" s="9">
        <f t="shared" si="223"/>
        <v>33516</v>
      </c>
      <c r="AY110" s="9">
        <f t="shared" ref="AY110" si="229">ROUND(AY100/AY$347,0)</f>
        <v>36466</v>
      </c>
    </row>
    <row r="111" spans="1:51">
      <c r="A111" s="14"/>
      <c r="C111" s="3" t="s">
        <v>26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AM111" s="4">
        <f t="shared" ref="AM111:AQ111" si="230">AM101/AM347</f>
        <v>1243.9230769230769</v>
      </c>
      <c r="AN111" s="4">
        <f t="shared" si="230"/>
        <v>602.24</v>
      </c>
      <c r="AO111" s="4">
        <f t="shared" si="230"/>
        <v>566.16</v>
      </c>
      <c r="AP111" s="4">
        <f t="shared" si="230"/>
        <v>1108.48</v>
      </c>
      <c r="AQ111" s="4">
        <f t="shared" si="230"/>
        <v>709.6</v>
      </c>
      <c r="AR111" s="4">
        <f t="shared" ref="AR111" si="231">AR101/AR347</f>
        <v>1426.1153846153845</v>
      </c>
      <c r="AS111" s="4">
        <v>844</v>
      </c>
      <c r="AT111" s="9">
        <f t="shared" ref="AT111" si="232">ROUND(AT101/AT$347,0)</f>
        <v>852</v>
      </c>
      <c r="AU111" s="9">
        <f t="shared" ref="AU111:AV111" si="233">ROUND(AU101/AU$347,0)</f>
        <v>961</v>
      </c>
      <c r="AV111" s="9">
        <f t="shared" si="233"/>
        <v>1187</v>
      </c>
      <c r="AW111" s="9">
        <f t="shared" si="223"/>
        <v>2082</v>
      </c>
      <c r="AX111" s="9">
        <f t="shared" si="223"/>
        <v>2595</v>
      </c>
      <c r="AY111" s="9">
        <f t="shared" ref="AY111" si="234">ROUND(AY101/AY$347,0)</f>
        <v>2198</v>
      </c>
    </row>
    <row r="112" spans="1:51">
      <c r="A112" s="14"/>
      <c r="C112" s="3" t="s">
        <v>24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AM112" s="4">
        <f t="shared" ref="AM112:AQ112" si="235">AM102/AM347</f>
        <v>4714.6538461538457</v>
      </c>
      <c r="AN112" s="4">
        <f t="shared" si="235"/>
        <v>4976.32</v>
      </c>
      <c r="AO112" s="4">
        <f t="shared" si="235"/>
        <v>5279.32</v>
      </c>
      <c r="AP112" s="4">
        <f t="shared" si="235"/>
        <v>5978.48</v>
      </c>
      <c r="AQ112" s="4">
        <f t="shared" si="235"/>
        <v>6348.2</v>
      </c>
      <c r="AR112" s="4">
        <f t="shared" ref="AR112" si="236">AR102/AR347</f>
        <v>7316.4230769230771</v>
      </c>
      <c r="AS112" s="4">
        <v>7640</v>
      </c>
      <c r="AT112" s="9">
        <f t="shared" ref="AT112" si="237">ROUND(AT102/AT$347,0)</f>
        <v>8040</v>
      </c>
      <c r="AU112" s="9">
        <f t="shared" ref="AU112:AV112" si="238">ROUND(AU102/AU$347,0)</f>
        <v>7632</v>
      </c>
      <c r="AV112" s="9">
        <f t="shared" si="238"/>
        <v>7781</v>
      </c>
      <c r="AW112" s="9">
        <f t="shared" si="223"/>
        <v>8166</v>
      </c>
      <c r="AX112" s="9">
        <f t="shared" si="223"/>
        <v>7744</v>
      </c>
      <c r="AY112" s="9">
        <f t="shared" ref="AY112" si="239">ROUND(AY102/AY$347,0)</f>
        <v>8248</v>
      </c>
    </row>
    <row r="113" spans="1:51">
      <c r="A113" s="14"/>
      <c r="C113" s="3" t="s">
        <v>10</v>
      </c>
      <c r="D113" s="4">
        <f t="shared" ref="D113:AQ113" si="240">D103/D347</f>
        <v>1509.6923076923076</v>
      </c>
      <c r="E113" s="4">
        <f t="shared" ref="E113" si="241">E103/E347</f>
        <v>1649.1923076923076</v>
      </c>
      <c r="F113" s="4">
        <f t="shared" si="240"/>
        <v>2033.7096774193549</v>
      </c>
      <c r="G113" s="4">
        <f t="shared" si="240"/>
        <v>2890.8387096774195</v>
      </c>
      <c r="H113" s="4">
        <f t="shared" si="240"/>
        <v>2477.0833333333335</v>
      </c>
      <c r="I113" s="4">
        <f t="shared" si="240"/>
        <v>2943.7027027027025</v>
      </c>
      <c r="J113" s="4">
        <f t="shared" si="240"/>
        <v>3161.5945945945946</v>
      </c>
      <c r="K113" s="4">
        <f t="shared" si="240"/>
        <v>3476.0270270270271</v>
      </c>
      <c r="L113" s="4">
        <f t="shared" si="240"/>
        <v>3572.6216216216217</v>
      </c>
      <c r="M113" s="4">
        <f t="shared" si="240"/>
        <v>3014.1794871794873</v>
      </c>
      <c r="N113" s="4">
        <f t="shared" si="240"/>
        <v>3248.6923076923076</v>
      </c>
      <c r="O113" s="4">
        <f t="shared" si="240"/>
        <v>3997.4473684210525</v>
      </c>
      <c r="P113" s="4">
        <f t="shared" si="240"/>
        <v>4371.8157894736842</v>
      </c>
      <c r="Q113" s="4">
        <f t="shared" si="240"/>
        <v>4686.105263157895</v>
      </c>
      <c r="R113" s="4">
        <f t="shared" si="240"/>
        <v>4857.5263157894733</v>
      </c>
      <c r="S113" s="4">
        <f t="shared" si="240"/>
        <v>4472.9743589743593</v>
      </c>
      <c r="T113" s="4">
        <f t="shared" si="240"/>
        <v>4984.1842105263158</v>
      </c>
      <c r="U113" s="4">
        <f t="shared" si="240"/>
        <v>6274.2894736842109</v>
      </c>
      <c r="V113" s="4">
        <f t="shared" si="240"/>
        <v>6335.8157894736842</v>
      </c>
      <c r="W113" s="4">
        <f t="shared" si="240"/>
        <v>7303.4473684210525</v>
      </c>
      <c r="X113" s="4">
        <f t="shared" si="240"/>
        <v>7323.394736842105</v>
      </c>
      <c r="Y113" s="4">
        <f t="shared" si="240"/>
        <v>7927.3684210526317</v>
      </c>
      <c r="Z113" s="4">
        <f t="shared" si="240"/>
        <v>8817</v>
      </c>
      <c r="AA113" s="4">
        <f t="shared" si="240"/>
        <v>8824.8205128205136</v>
      </c>
      <c r="AB113" s="4">
        <f t="shared" si="240"/>
        <v>9191.461538461539</v>
      </c>
      <c r="AC113" s="4">
        <f t="shared" si="240"/>
        <v>9831.1538461538457</v>
      </c>
      <c r="AD113" s="4">
        <f t="shared" si="240"/>
        <v>8698.3589743589746</v>
      </c>
      <c r="AE113" s="4">
        <f t="shared" si="240"/>
        <v>9545.1621621621616</v>
      </c>
      <c r="AF113" s="4">
        <f t="shared" si="240"/>
        <v>12142.807692307691</v>
      </c>
      <c r="AG113" s="4">
        <f t="shared" si="240"/>
        <v>9271</v>
      </c>
      <c r="AH113" s="4">
        <f t="shared" si="240"/>
        <v>9049.1153846153848</v>
      </c>
      <c r="AI113" s="4">
        <f t="shared" si="240"/>
        <v>7981.1851851851852</v>
      </c>
      <c r="AJ113" s="4">
        <f t="shared" si="240"/>
        <v>6603.8076923076924</v>
      </c>
      <c r="AK113" s="4">
        <f t="shared" si="240"/>
        <v>7355.8846153846152</v>
      </c>
      <c r="AL113" s="4">
        <f t="shared" si="240"/>
        <v>7691.2307692307695</v>
      </c>
      <c r="AM113" s="4">
        <f t="shared" si="240"/>
        <v>4202.2692307692305</v>
      </c>
      <c r="AN113" s="4">
        <f t="shared" si="240"/>
        <v>3046.52</v>
      </c>
      <c r="AO113" s="4">
        <f t="shared" si="240"/>
        <v>3433.72</v>
      </c>
      <c r="AP113" s="4">
        <f t="shared" si="240"/>
        <v>3339.56</v>
      </c>
      <c r="AQ113" s="4">
        <f t="shared" si="240"/>
        <v>3537</v>
      </c>
      <c r="AR113" s="4">
        <f t="shared" ref="AR113" si="242">AR103/AR347</f>
        <v>2811.7692307692309</v>
      </c>
      <c r="AS113" s="4">
        <v>2235</v>
      </c>
      <c r="AT113" s="9">
        <f t="shared" ref="AT113" si="243">ROUND(AT103/AT$347,0)</f>
        <v>2233</v>
      </c>
      <c r="AU113" s="9">
        <f t="shared" ref="AU113:AV113" si="244">ROUND(AU103/AU$347,0)</f>
        <v>2403</v>
      </c>
      <c r="AV113" s="9">
        <f t="shared" si="244"/>
        <v>2498</v>
      </c>
      <c r="AW113" s="9">
        <f t="shared" si="223"/>
        <v>2592</v>
      </c>
      <c r="AX113" s="9">
        <f t="shared" si="223"/>
        <v>2071</v>
      </c>
      <c r="AY113" s="9">
        <f t="shared" ref="AY113" si="245">ROUND(AY103/AY$347,0)</f>
        <v>1881</v>
      </c>
    </row>
    <row r="114" spans="1:51">
      <c r="A114" s="14"/>
      <c r="C114" s="3" t="s">
        <v>17</v>
      </c>
      <c r="D114" s="4">
        <f t="shared" ref="D114:AQ114" si="246">D104/D347</f>
        <v>40145.423076923078</v>
      </c>
      <c r="E114" s="4">
        <f t="shared" ref="E114" si="247">E104/E347</f>
        <v>48156.384615384617</v>
      </c>
      <c r="F114" s="4">
        <f t="shared" si="246"/>
        <v>47561.225806451614</v>
      </c>
      <c r="G114" s="4">
        <f t="shared" si="246"/>
        <v>56824.387096774197</v>
      </c>
      <c r="H114" s="4">
        <f t="shared" si="246"/>
        <v>52334.722222222219</v>
      </c>
      <c r="I114" s="4">
        <f t="shared" si="246"/>
        <v>60102.054054054053</v>
      </c>
      <c r="J114" s="4">
        <f t="shared" si="246"/>
        <v>67143.135135135133</v>
      </c>
      <c r="K114" s="4">
        <f t="shared" si="246"/>
        <v>69991.75675675676</v>
      </c>
      <c r="L114" s="4">
        <f t="shared" si="246"/>
        <v>67307.24324324324</v>
      </c>
      <c r="M114" s="4">
        <f t="shared" si="246"/>
        <v>63919.666666666664</v>
      </c>
      <c r="N114" s="4">
        <f t="shared" si="246"/>
        <v>64083.256410256414</v>
      </c>
      <c r="O114" s="4">
        <f t="shared" si="246"/>
        <v>64320.473684210527</v>
      </c>
      <c r="P114" s="4">
        <f t="shared" si="246"/>
        <v>67999.210526315786</v>
      </c>
      <c r="Q114" s="4">
        <f t="shared" si="246"/>
        <v>67272.5</v>
      </c>
      <c r="R114" s="4">
        <f t="shared" si="246"/>
        <v>69904.81578947368</v>
      </c>
      <c r="S114" s="4">
        <f t="shared" si="246"/>
        <v>69677.564102564109</v>
      </c>
      <c r="T114" s="4">
        <f t="shared" si="246"/>
        <v>71074.789473684214</v>
      </c>
      <c r="U114" s="4">
        <f t="shared" si="246"/>
        <v>74964.078947368427</v>
      </c>
      <c r="V114" s="4">
        <f t="shared" si="246"/>
        <v>73930.868421052626</v>
      </c>
      <c r="W114" s="4">
        <f t="shared" si="246"/>
        <v>69966.710526315786</v>
      </c>
      <c r="X114" s="4">
        <f t="shared" si="246"/>
        <v>71536.868421052626</v>
      </c>
      <c r="Y114" s="4">
        <f t="shared" si="246"/>
        <v>72930.921052631573</v>
      </c>
      <c r="Z114" s="4">
        <f t="shared" si="246"/>
        <v>76749.205128205125</v>
      </c>
      <c r="AA114" s="4">
        <f t="shared" si="246"/>
        <v>80232.256410256407</v>
      </c>
      <c r="AB114" s="4">
        <f t="shared" si="246"/>
        <v>79351.307692307688</v>
      </c>
      <c r="AC114" s="4">
        <f t="shared" si="246"/>
        <v>76172.307692307688</v>
      </c>
      <c r="AD114" s="4">
        <f t="shared" si="246"/>
        <v>73978.743589743593</v>
      </c>
      <c r="AE114" s="4">
        <f t="shared" si="246"/>
        <v>76476.783783783787</v>
      </c>
      <c r="AF114" s="4">
        <f t="shared" si="246"/>
        <v>80721.346153846156</v>
      </c>
      <c r="AG114" s="4">
        <f t="shared" si="246"/>
        <v>73234</v>
      </c>
      <c r="AH114" s="4">
        <f t="shared" si="246"/>
        <v>71130.192307692312</v>
      </c>
      <c r="AI114" s="4">
        <f t="shared" si="246"/>
        <v>63957.444444444445</v>
      </c>
      <c r="AJ114" s="4">
        <f t="shared" si="246"/>
        <v>62571.538461538461</v>
      </c>
      <c r="AK114" s="4">
        <f t="shared" si="246"/>
        <v>62503.384615384617</v>
      </c>
      <c r="AL114" s="4">
        <f t="shared" si="246"/>
        <v>64983.653846153844</v>
      </c>
      <c r="AM114" s="4">
        <f t="shared" si="246"/>
        <v>62326.192307692305</v>
      </c>
      <c r="AN114" s="4">
        <f t="shared" si="246"/>
        <v>59546.68</v>
      </c>
      <c r="AO114" s="4">
        <f t="shared" si="246"/>
        <v>57063.16</v>
      </c>
      <c r="AP114" s="4">
        <f t="shared" si="246"/>
        <v>58234.32</v>
      </c>
      <c r="AQ114" s="4">
        <f t="shared" si="246"/>
        <v>60100.2</v>
      </c>
      <c r="AR114" s="4">
        <f t="shared" ref="AR114" si="248">AR104/AR347</f>
        <v>62360.692307692305</v>
      </c>
      <c r="AS114" s="4">
        <v>59296</v>
      </c>
      <c r="AT114" s="9">
        <f t="shared" ref="AT114:AY114" si="249">SUM(AT108:AT113)</f>
        <v>58624</v>
      </c>
      <c r="AU114" s="9">
        <f t="shared" si="249"/>
        <v>59677</v>
      </c>
      <c r="AV114" s="9">
        <f t="shared" si="249"/>
        <v>58824</v>
      </c>
      <c r="AW114" s="9">
        <f t="shared" si="249"/>
        <v>61699</v>
      </c>
      <c r="AX114" s="9">
        <f t="shared" si="249"/>
        <v>61729</v>
      </c>
      <c r="AY114" s="9">
        <f t="shared" si="249"/>
        <v>63355</v>
      </c>
    </row>
    <row r="115" spans="1:51">
      <c r="A115" s="14"/>
      <c r="C115" s="10" t="s">
        <v>12</v>
      </c>
      <c r="D115" s="8">
        <f t="shared" ref="D115:AQ115" si="250">D114/D330*100</f>
        <v>2.3001917228612987</v>
      </c>
      <c r="E115" s="8">
        <f t="shared" ref="E115" si="251">E114/E330*100</f>
        <v>2.3062552956345557</v>
      </c>
      <c r="F115" s="8">
        <f t="shared" si="250"/>
        <v>2.1308484962351679</v>
      </c>
      <c r="G115" s="8">
        <f t="shared" si="250"/>
        <v>1.9171937920376136</v>
      </c>
      <c r="H115" s="8">
        <f t="shared" si="250"/>
        <v>1.6233341438587594</v>
      </c>
      <c r="I115" s="8">
        <f t="shared" si="250"/>
        <v>1.8952393320728838</v>
      </c>
      <c r="J115" s="8">
        <f t="shared" si="250"/>
        <v>1.7567366482761411</v>
      </c>
      <c r="K115" s="8">
        <f t="shared" si="250"/>
        <v>1.7554620449148886</v>
      </c>
      <c r="L115" s="8">
        <f t="shared" si="250"/>
        <v>1.5310819908876088</v>
      </c>
      <c r="M115" s="8">
        <f t="shared" si="250"/>
        <v>1.384367526505097</v>
      </c>
      <c r="N115" s="8">
        <f t="shared" si="250"/>
        <v>1.2984062051843464</v>
      </c>
      <c r="O115" s="8">
        <f t="shared" si="250"/>
        <v>1.3347112404164994</v>
      </c>
      <c r="P115" s="8">
        <f t="shared" si="250"/>
        <v>1.2276100730300599</v>
      </c>
      <c r="Q115" s="8">
        <f t="shared" si="250"/>
        <v>1.272725018747185</v>
      </c>
      <c r="R115" s="8">
        <f t="shared" si="250"/>
        <v>1.1786818850658802</v>
      </c>
      <c r="S115" s="8">
        <f t="shared" si="250"/>
        <v>1.1854309874026672</v>
      </c>
      <c r="T115" s="8">
        <f t="shared" si="250"/>
        <v>1.097996380871898</v>
      </c>
      <c r="U115" s="8">
        <f t="shared" si="250"/>
        <v>1.1098428727486029</v>
      </c>
      <c r="V115" s="8">
        <f t="shared" si="250"/>
        <v>0.99938757663571753</v>
      </c>
      <c r="W115" s="8">
        <f t="shared" si="250"/>
        <v>0.97143478217389967</v>
      </c>
      <c r="X115" s="8">
        <f t="shared" si="250"/>
        <v>0.93549534174491911</v>
      </c>
      <c r="Y115" s="8">
        <f t="shared" si="250"/>
        <v>0.96039936950047788</v>
      </c>
      <c r="Z115" s="8">
        <f t="shared" si="250"/>
        <v>1.0153667447343906</v>
      </c>
      <c r="AA115" s="8">
        <f t="shared" si="250"/>
        <v>0.99906243448164467</v>
      </c>
      <c r="AB115" s="8">
        <f t="shared" si="250"/>
        <v>1.0143204685012543</v>
      </c>
      <c r="AC115" s="8">
        <f t="shared" si="250"/>
        <v>0.98872345641361437</v>
      </c>
      <c r="AD115" s="8">
        <f t="shared" si="250"/>
        <v>0.95753263568996438</v>
      </c>
      <c r="AE115" s="8">
        <f t="shared" si="250"/>
        <v>0.98030581814089779</v>
      </c>
      <c r="AF115" s="8">
        <f t="shared" si="250"/>
        <v>1.1981195353891043</v>
      </c>
      <c r="AG115" s="8">
        <f t="shared" si="250"/>
        <v>1.0310543386230639</v>
      </c>
      <c r="AH115" s="8">
        <f t="shared" si="250"/>
        <v>0.78914568121225792</v>
      </c>
      <c r="AI115" s="8">
        <f t="shared" si="250"/>
        <v>0.88391382246267547</v>
      </c>
      <c r="AJ115" s="8">
        <f t="shared" si="250"/>
        <v>0.79366033378869705</v>
      </c>
      <c r="AK115" s="8">
        <f t="shared" si="250"/>
        <v>0.78582307642330196</v>
      </c>
      <c r="AL115" s="8">
        <f t="shared" si="250"/>
        <v>0.75541195104158865</v>
      </c>
      <c r="AM115" s="8">
        <f t="shared" si="250"/>
        <v>0.78458429159973631</v>
      </c>
      <c r="AN115" s="8">
        <f t="shared" si="250"/>
        <v>0.72098917897998782</v>
      </c>
      <c r="AO115" s="8">
        <f t="shared" si="250"/>
        <v>0.70811370924896644</v>
      </c>
      <c r="AP115" s="8">
        <f t="shared" si="250"/>
        <v>0.66026608688198618</v>
      </c>
      <c r="AQ115" s="8">
        <f t="shared" si="250"/>
        <v>0.68560372223950705</v>
      </c>
      <c r="AR115" s="8">
        <f t="shared" ref="AR115:AW115" si="252">AR114/AR330*100</f>
        <v>0.72287166900559885</v>
      </c>
      <c r="AS115" s="8">
        <f t="shared" si="252"/>
        <v>0.70640975755053392</v>
      </c>
      <c r="AT115" s="40">
        <f t="shared" si="252"/>
        <v>0.68954419060953642</v>
      </c>
      <c r="AU115" s="40">
        <f t="shared" ref="AU115:AV115" si="253">AU114/AU330*100</f>
        <v>0.68565513736264594</v>
      </c>
      <c r="AV115" s="40">
        <f t="shared" si="253"/>
        <v>0.65681188851981986</v>
      </c>
      <c r="AW115" s="40">
        <f t="shared" si="252"/>
        <v>0.69846655281324987</v>
      </c>
      <c r="AX115" s="40">
        <f t="shared" ref="AX115:AY115" si="254">AX114/AX330*100</f>
        <v>0.67475180634989984</v>
      </c>
      <c r="AY115" s="40">
        <f t="shared" si="254"/>
        <v>0.69845937644131029</v>
      </c>
    </row>
    <row r="116" spans="1:51">
      <c r="A116" s="1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</row>
    <row r="117" spans="1:51" s="22" customFormat="1">
      <c r="A117" s="24" t="s">
        <v>6</v>
      </c>
      <c r="B117" s="22" t="s">
        <v>1</v>
      </c>
      <c r="C117" s="22" t="s">
        <v>8</v>
      </c>
      <c r="D117" s="23">
        <v>601230</v>
      </c>
      <c r="E117" s="23">
        <v>656363</v>
      </c>
      <c r="F117" s="23">
        <v>736251</v>
      </c>
      <c r="G117" s="23">
        <v>722071</v>
      </c>
      <c r="H117" s="23">
        <v>811159</v>
      </c>
      <c r="I117" s="23">
        <v>955294</v>
      </c>
      <c r="J117" s="23">
        <v>1020992</v>
      </c>
      <c r="K117" s="23">
        <v>1113107</v>
      </c>
      <c r="L117" s="23">
        <f>550948+499842</f>
        <v>1050790</v>
      </c>
      <c r="M117" s="23">
        <f>546177+517209</f>
        <v>1063386</v>
      </c>
      <c r="N117" s="23">
        <f>579809+444550</f>
        <v>1024359</v>
      </c>
      <c r="O117" s="23">
        <f>555841+391215</f>
        <v>947056</v>
      </c>
      <c r="P117" s="23">
        <f>587046+406596</f>
        <v>993642</v>
      </c>
      <c r="Q117" s="23">
        <f>647090+433066</f>
        <v>1080156</v>
      </c>
      <c r="R117" s="23">
        <f>725912+537667</f>
        <v>1263579</v>
      </c>
      <c r="S117" s="23">
        <f>702148+491604</f>
        <v>1193752</v>
      </c>
      <c r="T117" s="23">
        <f>711401+542276</f>
        <v>1253677</v>
      </c>
      <c r="U117" s="23">
        <f>1098805+1198235</f>
        <v>2297040</v>
      </c>
      <c r="V117" s="23">
        <f>1146616+813466</f>
        <v>1960082</v>
      </c>
      <c r="W117" s="23">
        <f>1563315+951314</f>
        <v>2514629</v>
      </c>
      <c r="X117" s="23">
        <f>1344150+1054044</f>
        <v>2398194</v>
      </c>
      <c r="Y117" s="23">
        <f>1403643+1009080</f>
        <v>2412723</v>
      </c>
      <c r="Z117" s="23">
        <f>1461318+1078980</f>
        <v>2540298</v>
      </c>
      <c r="AA117" s="23">
        <f>1258385+817637</f>
        <v>2076022</v>
      </c>
      <c r="AB117" s="23">
        <f>1904262+1227310</f>
        <v>3131572</v>
      </c>
      <c r="AC117" s="23">
        <f>1546104+812394</f>
        <v>2358498</v>
      </c>
      <c r="AD117" s="23">
        <v>2182068</v>
      </c>
      <c r="AE117" s="23">
        <v>1893461</v>
      </c>
      <c r="AF117" s="23">
        <v>1710446</v>
      </c>
      <c r="AG117" s="23">
        <v>1587629</v>
      </c>
      <c r="AH117" s="23">
        <v>1392902</v>
      </c>
      <c r="AI117" s="23">
        <v>1369194</v>
      </c>
      <c r="AJ117" s="23">
        <v>1256255</v>
      </c>
      <c r="AK117" s="23">
        <v>1179141</v>
      </c>
      <c r="AL117" s="23">
        <v>1172992</v>
      </c>
      <c r="AM117" s="23">
        <v>1242278</v>
      </c>
      <c r="AN117" s="23">
        <v>1207391</v>
      </c>
      <c r="AO117" s="23">
        <v>1077218</v>
      </c>
      <c r="AP117" s="23">
        <v>988642</v>
      </c>
      <c r="AQ117" s="23">
        <v>950624</v>
      </c>
      <c r="AR117" s="23">
        <v>900412</v>
      </c>
      <c r="AS117" s="23">
        <v>841076</v>
      </c>
      <c r="AT117" s="23">
        <v>907273</v>
      </c>
      <c r="AU117" s="23">
        <v>857438</v>
      </c>
      <c r="AV117" s="23">
        <v>855966</v>
      </c>
      <c r="AW117" s="23">
        <v>879711</v>
      </c>
      <c r="AX117" s="23">
        <v>818093</v>
      </c>
      <c r="AY117" s="23">
        <v>724666</v>
      </c>
    </row>
    <row r="118" spans="1:51">
      <c r="A118" s="16"/>
      <c r="B118" s="3" t="s">
        <v>21</v>
      </c>
      <c r="C118" s="3" t="s">
        <v>9</v>
      </c>
      <c r="D118" s="4">
        <v>356482</v>
      </c>
      <c r="E118" s="4">
        <v>416847</v>
      </c>
      <c r="F118" s="4">
        <v>453425</v>
      </c>
      <c r="G118" s="4">
        <v>491428</v>
      </c>
      <c r="H118" s="4">
        <v>521150</v>
      </c>
      <c r="I118" s="4">
        <v>599717</v>
      </c>
      <c r="J118" s="4">
        <v>670678</v>
      </c>
      <c r="K118" s="4">
        <f>119243+622287</f>
        <v>741530</v>
      </c>
      <c r="L118" s="4">
        <f>117419+706018</f>
        <v>823437</v>
      </c>
      <c r="M118" s="4">
        <f>197258+594778</f>
        <v>792036</v>
      </c>
      <c r="N118" s="4">
        <f>116423+632312</f>
        <v>748735</v>
      </c>
      <c r="O118" s="4">
        <f>127072+644725</f>
        <v>771797</v>
      </c>
      <c r="P118" s="4">
        <f>131491+626845</f>
        <v>758336</v>
      </c>
      <c r="Q118" s="4">
        <f>145613+634153</f>
        <v>779766</v>
      </c>
      <c r="R118" s="4">
        <f>167315+639739</f>
        <v>807054</v>
      </c>
      <c r="S118" s="4">
        <f>158224+755202</f>
        <v>913426</v>
      </c>
      <c r="T118" s="4">
        <f>164398+938680</f>
        <v>1103078</v>
      </c>
      <c r="U118" s="4">
        <f>212663+1022633</f>
        <v>1235296</v>
      </c>
      <c r="V118" s="4">
        <f>228487+1189650</f>
        <v>1418137</v>
      </c>
      <c r="W118" s="4">
        <f>262734+1088920</f>
        <v>1351654</v>
      </c>
      <c r="X118" s="4">
        <f>264647+1162241</f>
        <v>1426888</v>
      </c>
      <c r="Y118" s="4">
        <f>292821+1274641</f>
        <v>1567462</v>
      </c>
      <c r="Z118" s="4">
        <f>303910+1378096</f>
        <v>1682006</v>
      </c>
      <c r="AA118" s="4">
        <f>298048+1490227</f>
        <v>1788275</v>
      </c>
      <c r="AB118" s="4">
        <f>353659+1815805</f>
        <v>2169464</v>
      </c>
      <c r="AC118" s="4">
        <f>352601+1626980</f>
        <v>1979581</v>
      </c>
      <c r="AD118" s="4">
        <v>1854756</v>
      </c>
      <c r="AE118" s="4">
        <v>2023693</v>
      </c>
      <c r="AF118" s="4">
        <v>2041877</v>
      </c>
      <c r="AG118" s="4">
        <v>1908944</v>
      </c>
      <c r="AH118" s="4">
        <v>1664048</v>
      </c>
      <c r="AI118" s="4">
        <v>1579017</v>
      </c>
      <c r="AJ118" s="4">
        <v>1408176</v>
      </c>
      <c r="AK118" s="4">
        <v>1285963</v>
      </c>
      <c r="AL118" s="4">
        <v>1167873</v>
      </c>
      <c r="AM118" s="4">
        <v>1043987</v>
      </c>
      <c r="AN118" s="4">
        <v>955370</v>
      </c>
      <c r="AO118" s="4">
        <v>888969</v>
      </c>
      <c r="AP118" s="4">
        <v>860322</v>
      </c>
      <c r="AQ118" s="4">
        <v>884656</v>
      </c>
      <c r="AR118" s="4">
        <v>857759</v>
      </c>
      <c r="AS118" s="4">
        <v>830747</v>
      </c>
      <c r="AT118" s="4">
        <v>741488</v>
      </c>
      <c r="AU118" s="4">
        <v>746421</v>
      </c>
      <c r="AV118" s="4">
        <v>704638</v>
      </c>
      <c r="AW118" s="4">
        <v>686167</v>
      </c>
      <c r="AX118" s="4">
        <v>674956</v>
      </c>
      <c r="AY118" s="4">
        <v>667090</v>
      </c>
    </row>
    <row r="119" spans="1:51">
      <c r="A119" s="16"/>
      <c r="C119" s="3" t="s">
        <v>11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AG119" s="4">
        <v>241746</v>
      </c>
      <c r="AH119" s="4">
        <v>286427</v>
      </c>
      <c r="AI119" s="4">
        <v>496134</v>
      </c>
      <c r="AJ119" s="4">
        <v>698022</v>
      </c>
      <c r="AK119" s="4">
        <v>840908</v>
      </c>
      <c r="AL119" s="4">
        <v>908335</v>
      </c>
      <c r="AM119" s="4">
        <v>963753</v>
      </c>
      <c r="AN119" s="4">
        <v>1031593</v>
      </c>
      <c r="AO119" s="4">
        <v>1103975</v>
      </c>
      <c r="AP119" s="4">
        <v>1272124</v>
      </c>
      <c r="AQ119" s="4">
        <v>1395998</v>
      </c>
      <c r="AR119" s="4">
        <v>1588600</v>
      </c>
      <c r="AS119" s="4">
        <v>1642929</v>
      </c>
      <c r="AT119" s="4">
        <v>1729500</v>
      </c>
      <c r="AU119" s="4">
        <v>1819642</v>
      </c>
      <c r="AV119" s="4">
        <v>1940140</v>
      </c>
      <c r="AW119" s="4">
        <v>2001459</v>
      </c>
      <c r="AX119" s="4">
        <v>2114574</v>
      </c>
      <c r="AY119" s="4">
        <v>2313597</v>
      </c>
    </row>
    <row r="120" spans="1:51">
      <c r="A120" s="16"/>
      <c r="C120" s="3" t="s">
        <v>26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AM120" s="4">
        <v>34493</v>
      </c>
      <c r="AN120" s="4">
        <v>27512</v>
      </c>
      <c r="AO120" s="4">
        <v>22920</v>
      </c>
      <c r="AP120" s="4">
        <v>41482</v>
      </c>
      <c r="AQ120" s="4">
        <v>36217</v>
      </c>
      <c r="AR120" s="4">
        <v>40900</v>
      </c>
      <c r="AS120" s="4">
        <v>52207</v>
      </c>
      <c r="AT120" s="4">
        <v>76837</v>
      </c>
      <c r="AU120" s="4">
        <v>64298</v>
      </c>
      <c r="AV120" s="4">
        <v>82724</v>
      </c>
      <c r="AW120" s="4">
        <v>180029</v>
      </c>
      <c r="AX120" s="4">
        <v>220735</v>
      </c>
      <c r="AY120" s="4">
        <v>127198</v>
      </c>
    </row>
    <row r="121" spans="1:51">
      <c r="A121" s="16"/>
      <c r="C121" s="3" t="s">
        <v>24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AM121" s="4">
        <v>271823</v>
      </c>
      <c r="AN121" s="4">
        <v>304676</v>
      </c>
      <c r="AO121" s="4">
        <v>315648</v>
      </c>
      <c r="AP121" s="4">
        <v>356563</v>
      </c>
      <c r="AQ121" s="4">
        <v>366157</v>
      </c>
      <c r="AR121" s="4">
        <v>366838</v>
      </c>
      <c r="AS121" s="4">
        <v>356623</v>
      </c>
      <c r="AT121" s="4">
        <v>370601</v>
      </c>
      <c r="AU121" s="4">
        <v>384184</v>
      </c>
      <c r="AV121" s="4">
        <v>414546</v>
      </c>
      <c r="AW121" s="4">
        <v>459569</v>
      </c>
      <c r="AX121" s="4">
        <v>514773</v>
      </c>
      <c r="AY121" s="4">
        <v>510834</v>
      </c>
    </row>
    <row r="122" spans="1:51">
      <c r="A122" s="16"/>
      <c r="C122" s="3" t="s">
        <v>10</v>
      </c>
      <c r="D122" s="4">
        <v>19719</v>
      </c>
      <c r="E122" s="4">
        <v>11636</v>
      </c>
      <c r="F122" s="4">
        <v>15104</v>
      </c>
      <c r="G122" s="4">
        <v>23200</v>
      </c>
      <c r="H122" s="4">
        <v>30815</v>
      </c>
      <c r="I122" s="4">
        <v>21911</v>
      </c>
      <c r="J122" s="4">
        <v>67391</v>
      </c>
      <c r="K122" s="4">
        <v>36189</v>
      </c>
      <c r="L122" s="4">
        <v>42028</v>
      </c>
      <c r="M122" s="4">
        <v>56700</v>
      </c>
      <c r="N122" s="4">
        <v>34055</v>
      </c>
      <c r="O122" s="4">
        <v>37745</v>
      </c>
      <c r="P122" s="4">
        <v>47429</v>
      </c>
      <c r="Q122" s="4">
        <v>65061</v>
      </c>
      <c r="R122" s="4">
        <v>67641</v>
      </c>
      <c r="S122" s="4">
        <v>70738</v>
      </c>
      <c r="T122" s="4">
        <v>103625</v>
      </c>
      <c r="U122" s="4">
        <v>125666</v>
      </c>
      <c r="V122" s="4">
        <v>203966</v>
      </c>
      <c r="W122" s="4">
        <v>278666</v>
      </c>
      <c r="X122" s="4">
        <v>354605</v>
      </c>
      <c r="Y122" s="4">
        <v>385599</v>
      </c>
      <c r="Z122" s="4">
        <v>884148</v>
      </c>
      <c r="AA122" s="4">
        <v>278612</v>
      </c>
      <c r="AB122" s="4">
        <v>362411</v>
      </c>
      <c r="AC122" s="4">
        <v>289846</v>
      </c>
      <c r="AD122" s="4">
        <v>292336</v>
      </c>
      <c r="AE122" s="4">
        <v>342923</v>
      </c>
      <c r="AF122" s="4">
        <v>242793</v>
      </c>
      <c r="AG122" s="4">
        <v>189197</v>
      </c>
      <c r="AH122" s="4">
        <v>220190</v>
      </c>
      <c r="AI122" s="4">
        <v>282308</v>
      </c>
      <c r="AJ122" s="4">
        <v>278966</v>
      </c>
      <c r="AK122" s="4">
        <v>267073</v>
      </c>
      <c r="AL122" s="4">
        <v>302195</v>
      </c>
      <c r="AM122" s="4">
        <v>130003</v>
      </c>
      <c r="AN122" s="4">
        <v>123207</v>
      </c>
      <c r="AO122" s="4">
        <v>104060</v>
      </c>
      <c r="AP122" s="4">
        <v>102579</v>
      </c>
      <c r="AQ122" s="4">
        <v>116136</v>
      </c>
      <c r="AR122" s="4">
        <v>120546</v>
      </c>
      <c r="AS122" s="4">
        <v>134506</v>
      </c>
      <c r="AT122" s="4">
        <v>123176</v>
      </c>
      <c r="AU122" s="4">
        <v>107379</v>
      </c>
      <c r="AV122" s="4">
        <v>110427</v>
      </c>
      <c r="AW122" s="4">
        <v>111768</v>
      </c>
      <c r="AX122" s="4">
        <v>115384</v>
      </c>
      <c r="AY122" s="4">
        <v>104493</v>
      </c>
    </row>
    <row r="123" spans="1:51">
      <c r="A123" s="16"/>
      <c r="C123" s="3" t="s">
        <v>17</v>
      </c>
      <c r="D123" s="4">
        <v>977431</v>
      </c>
      <c r="E123" s="4">
        <v>1084846</v>
      </c>
      <c r="F123" s="4">
        <v>1204780</v>
      </c>
      <c r="G123" s="4">
        <v>1236699</v>
      </c>
      <c r="H123" s="4">
        <v>1363124</v>
      </c>
      <c r="I123" s="4">
        <v>1576922</v>
      </c>
      <c r="J123" s="4">
        <v>1759061</v>
      </c>
      <c r="K123" s="4">
        <v>1890826</v>
      </c>
      <c r="L123" s="4">
        <v>1916255</v>
      </c>
      <c r="M123" s="4">
        <v>1912122</v>
      </c>
      <c r="N123" s="4">
        <v>1807149</v>
      </c>
      <c r="O123" s="4">
        <v>1756598</v>
      </c>
      <c r="P123" s="4">
        <v>1799407</v>
      </c>
      <c r="Q123" s="4">
        <v>1924983</v>
      </c>
      <c r="R123" s="4">
        <v>2138274</v>
      </c>
      <c r="S123" s="4">
        <v>2177916</v>
      </c>
      <c r="T123" s="4">
        <v>2460380</v>
      </c>
      <c r="U123" s="4">
        <v>3658002</v>
      </c>
      <c r="V123" s="4">
        <v>3582185</v>
      </c>
      <c r="W123" s="4">
        <v>4144949</v>
      </c>
      <c r="X123" s="4">
        <v>4179687</v>
      </c>
      <c r="Y123" s="4">
        <v>4365784</v>
      </c>
      <c r="Z123" s="4">
        <v>5106452</v>
      </c>
      <c r="AA123" s="4">
        <v>4142909</v>
      </c>
      <c r="AB123" s="4">
        <v>5663447</v>
      </c>
      <c r="AC123" s="4">
        <v>4627925</v>
      </c>
      <c r="AD123" s="4">
        <v>4329160</v>
      </c>
      <c r="AE123" s="4">
        <v>4260077</v>
      </c>
      <c r="AF123" s="4">
        <v>3995116</v>
      </c>
      <c r="AG123" s="4">
        <v>3927516</v>
      </c>
      <c r="AH123" s="4">
        <v>3563567</v>
      </c>
      <c r="AI123" s="4">
        <v>3726653</v>
      </c>
      <c r="AJ123" s="4">
        <v>3641419</v>
      </c>
      <c r="AK123" s="4">
        <v>3573085</v>
      </c>
      <c r="AL123" s="4">
        <v>3551395</v>
      </c>
      <c r="AM123" s="4">
        <v>3686337</v>
      </c>
      <c r="AN123" s="4">
        <v>3649749</v>
      </c>
      <c r="AO123" s="4">
        <v>3512790</v>
      </c>
      <c r="AP123" s="4">
        <v>3621712</v>
      </c>
      <c r="AQ123" s="4">
        <v>3755048</v>
      </c>
      <c r="AR123" s="4">
        <v>3875055</v>
      </c>
      <c r="AS123" s="4">
        <v>3858088</v>
      </c>
      <c r="AT123" s="9">
        <f t="shared" ref="AT123:AY123" si="255">SUM(AT117:AT122)</f>
        <v>3948875</v>
      </c>
      <c r="AU123" s="9">
        <f t="shared" si="255"/>
        <v>3979362</v>
      </c>
      <c r="AV123" s="9">
        <f t="shared" si="255"/>
        <v>4108441</v>
      </c>
      <c r="AW123" s="9">
        <f t="shared" si="255"/>
        <v>4318703</v>
      </c>
      <c r="AX123" s="9">
        <f t="shared" si="255"/>
        <v>4458515</v>
      </c>
      <c r="AY123" s="9">
        <f t="shared" si="255"/>
        <v>4447878</v>
      </c>
    </row>
    <row r="124" spans="1:51">
      <c r="A124" s="16"/>
      <c r="C124" s="10" t="s">
        <v>12</v>
      </c>
      <c r="D124" s="8">
        <f t="shared" ref="D124:AQ124" si="256">D123/D313*100</f>
        <v>1.9118080819935064</v>
      </c>
      <c r="E124" s="8">
        <f t="shared" ref="E124" si="257">E123/E313*100</f>
        <v>1.9235540267385369</v>
      </c>
      <c r="F124" s="8">
        <f t="shared" si="256"/>
        <v>1.8998943434311577</v>
      </c>
      <c r="G124" s="8">
        <f t="shared" si="256"/>
        <v>1.767041021904068</v>
      </c>
      <c r="H124" s="8">
        <f t="shared" si="256"/>
        <v>1.7209839804854381</v>
      </c>
      <c r="I124" s="8">
        <f t="shared" si="256"/>
        <v>1.4769890673987101</v>
      </c>
      <c r="J124" s="8">
        <f t="shared" si="256"/>
        <v>2.0058280111272047</v>
      </c>
      <c r="K124" s="8">
        <f t="shared" si="256"/>
        <v>2.0950613596453231</v>
      </c>
      <c r="L124" s="8">
        <f t="shared" si="256"/>
        <v>2.0796263491232114</v>
      </c>
      <c r="M124" s="8">
        <f t="shared" si="256"/>
        <v>1.752025581606518</v>
      </c>
      <c r="N124" s="8">
        <f t="shared" si="256"/>
        <v>1.5791460090052136</v>
      </c>
      <c r="O124" s="8">
        <f t="shared" si="256"/>
        <v>1.3121573436060694</v>
      </c>
      <c r="P124" s="8">
        <f t="shared" si="256"/>
        <v>1.4190307768865973</v>
      </c>
      <c r="Q124" s="8">
        <f t="shared" si="256"/>
        <v>1.5400622203432319</v>
      </c>
      <c r="R124" s="8">
        <f t="shared" si="256"/>
        <v>1.112918779622851</v>
      </c>
      <c r="S124" s="8">
        <f t="shared" si="256"/>
        <v>1.6406511605391694</v>
      </c>
      <c r="T124" s="8">
        <f t="shared" si="256"/>
        <v>1.3629046985740367</v>
      </c>
      <c r="U124" s="8">
        <f t="shared" si="256"/>
        <v>2.2827466346947523</v>
      </c>
      <c r="V124" s="8">
        <f t="shared" si="256"/>
        <v>1.9284244155294297</v>
      </c>
      <c r="W124" s="8">
        <f t="shared" si="256"/>
        <v>2.0120335161822638</v>
      </c>
      <c r="X124" s="8">
        <f t="shared" si="256"/>
        <v>1.8358713681307199</v>
      </c>
      <c r="Y124" s="8">
        <f t="shared" si="256"/>
        <v>1.9139308566292805</v>
      </c>
      <c r="Z124" s="8">
        <f t="shared" si="256"/>
        <v>2.0104048572971771</v>
      </c>
      <c r="AA124" s="8">
        <f t="shared" si="256"/>
        <v>0.96373275577760464</v>
      </c>
      <c r="AB124" s="8">
        <f t="shared" si="256"/>
        <v>1.9344191578277528</v>
      </c>
      <c r="AC124" s="8">
        <f t="shared" si="256"/>
        <v>1.6966865971058127</v>
      </c>
      <c r="AD124" s="8">
        <f t="shared" si="256"/>
        <v>1.5090711571794713</v>
      </c>
      <c r="AE124" s="8">
        <f t="shared" si="256"/>
        <v>1.5070593487640216</v>
      </c>
      <c r="AF124" s="8">
        <f t="shared" si="256"/>
        <v>1.391120444575396</v>
      </c>
      <c r="AG124" s="8">
        <f t="shared" si="256"/>
        <v>1.3567108309506501</v>
      </c>
      <c r="AH124" s="8">
        <f t="shared" si="256"/>
        <v>1.2353441145017769</v>
      </c>
      <c r="AI124" s="8">
        <f t="shared" si="256"/>
        <v>1.2461460757092158</v>
      </c>
      <c r="AJ124" s="8">
        <f t="shared" si="256"/>
        <v>1.2084345958397908</v>
      </c>
      <c r="AK124" s="8">
        <f t="shared" si="256"/>
        <v>0.99317824247901354</v>
      </c>
      <c r="AL124" s="8">
        <f t="shared" si="256"/>
        <v>0.9694882821039833</v>
      </c>
      <c r="AM124" s="8">
        <f t="shared" si="256"/>
        <v>1.000184629250259</v>
      </c>
      <c r="AN124" s="8">
        <f t="shared" si="256"/>
        <v>0.94255169658912841</v>
      </c>
      <c r="AO124" s="8">
        <f t="shared" si="256"/>
        <v>0.91975088860630894</v>
      </c>
      <c r="AP124" s="8">
        <f t="shared" si="256"/>
        <v>1.0134964783107925</v>
      </c>
      <c r="AQ124" s="8">
        <f t="shared" si="256"/>
        <v>0.99398317776314571</v>
      </c>
      <c r="AR124" s="8">
        <f t="shared" ref="AR124:AW124" si="258">AR123/AR313*100</f>
        <v>0.97352377502752163</v>
      </c>
      <c r="AS124" s="8">
        <f t="shared" si="258"/>
        <v>0.94072776575597539</v>
      </c>
      <c r="AT124" s="40">
        <f t="shared" si="258"/>
        <v>0.94579259682977967</v>
      </c>
      <c r="AU124" s="40">
        <f t="shared" ref="AU124:AV124" si="259">AU123/AU313*100</f>
        <v>0.9303289594565155</v>
      </c>
      <c r="AV124" s="40">
        <f t="shared" si="259"/>
        <v>0.94175047004246659</v>
      </c>
      <c r="AW124" s="40">
        <f t="shared" si="258"/>
        <v>1.1482592329535275</v>
      </c>
      <c r="AX124" s="40">
        <f t="shared" ref="AX124:AY124" si="260">AX123/AX313*100</f>
        <v>0.98272854821721178</v>
      </c>
      <c r="AY124" s="40">
        <f t="shared" si="260"/>
        <v>0.40593520007712613</v>
      </c>
    </row>
    <row r="125" spans="1:51">
      <c r="A125" s="16"/>
      <c r="C125" s="10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4"/>
      <c r="AR125" s="4"/>
      <c r="AS125" s="4"/>
      <c r="AT125" s="4"/>
      <c r="AU125" s="4"/>
      <c r="AV125" s="4"/>
      <c r="AW125" s="4"/>
      <c r="AX125" s="4"/>
      <c r="AY125" s="4"/>
    </row>
    <row r="126" spans="1:51" s="2" customFormat="1">
      <c r="A126" s="17"/>
      <c r="C126" s="3"/>
      <c r="D126" s="1">
        <f t="shared" ref="D126:AQ126" si="261">D2</f>
        <v>1975</v>
      </c>
      <c r="E126" s="1">
        <f t="shared" ref="E126" si="262">E2</f>
        <v>76</v>
      </c>
      <c r="F126" s="1">
        <f t="shared" si="261"/>
        <v>77</v>
      </c>
      <c r="G126" s="1">
        <f t="shared" si="261"/>
        <v>78</v>
      </c>
      <c r="H126" s="1">
        <f t="shared" si="261"/>
        <v>79</v>
      </c>
      <c r="I126" s="1">
        <f t="shared" si="261"/>
        <v>80</v>
      </c>
      <c r="J126" s="1">
        <f t="shared" si="261"/>
        <v>81</v>
      </c>
      <c r="K126" s="1">
        <f t="shared" si="261"/>
        <v>82</v>
      </c>
      <c r="L126" s="1">
        <f t="shared" si="261"/>
        <v>83</v>
      </c>
      <c r="M126" s="1">
        <f t="shared" si="261"/>
        <v>84</v>
      </c>
      <c r="N126" s="1">
        <f t="shared" si="261"/>
        <v>85</v>
      </c>
      <c r="O126" s="1">
        <f t="shared" si="261"/>
        <v>86</v>
      </c>
      <c r="P126" s="1">
        <f t="shared" si="261"/>
        <v>87</v>
      </c>
      <c r="Q126" s="1">
        <f t="shared" si="261"/>
        <v>88</v>
      </c>
      <c r="R126" s="1">
        <f t="shared" si="261"/>
        <v>89</v>
      </c>
      <c r="S126" s="1" t="str">
        <f t="shared" si="261"/>
        <v>90</v>
      </c>
      <c r="T126" s="1" t="str">
        <f t="shared" si="261"/>
        <v>91</v>
      </c>
      <c r="U126" s="1" t="str">
        <f t="shared" si="261"/>
        <v>92</v>
      </c>
      <c r="V126" s="1" t="str">
        <f t="shared" si="261"/>
        <v>93</v>
      </c>
      <c r="W126" s="1" t="str">
        <f t="shared" si="261"/>
        <v>94</v>
      </c>
      <c r="X126" s="1" t="str">
        <f t="shared" si="261"/>
        <v>95</v>
      </c>
      <c r="Y126" s="1" t="str">
        <f t="shared" si="261"/>
        <v>96</v>
      </c>
      <c r="Z126" s="1" t="str">
        <f t="shared" si="261"/>
        <v>97</v>
      </c>
      <c r="AA126" s="1" t="str">
        <f t="shared" si="261"/>
        <v>98</v>
      </c>
      <c r="AB126" s="1" t="str">
        <f t="shared" si="261"/>
        <v>99</v>
      </c>
      <c r="AC126" s="1" t="str">
        <f t="shared" si="261"/>
        <v>2000</v>
      </c>
      <c r="AD126" s="1" t="str">
        <f t="shared" si="261"/>
        <v>01</v>
      </c>
      <c r="AE126" s="1" t="str">
        <f t="shared" si="261"/>
        <v>02</v>
      </c>
      <c r="AF126" s="1" t="str">
        <f t="shared" si="261"/>
        <v>03</v>
      </c>
      <c r="AG126" s="1" t="str">
        <f t="shared" si="261"/>
        <v>04</v>
      </c>
      <c r="AH126" s="1" t="str">
        <f t="shared" si="261"/>
        <v>05</v>
      </c>
      <c r="AI126" s="1" t="str">
        <f t="shared" si="261"/>
        <v>06</v>
      </c>
      <c r="AJ126" s="1" t="str">
        <f t="shared" si="261"/>
        <v>07</v>
      </c>
      <c r="AK126" s="1" t="str">
        <f t="shared" si="261"/>
        <v>08</v>
      </c>
      <c r="AL126" s="1" t="str">
        <f t="shared" si="261"/>
        <v>09</v>
      </c>
      <c r="AM126" s="1" t="str">
        <f t="shared" si="261"/>
        <v>10</v>
      </c>
      <c r="AN126" s="1" t="str">
        <f t="shared" si="261"/>
        <v>11</v>
      </c>
      <c r="AO126" s="1" t="str">
        <f t="shared" si="261"/>
        <v>12</v>
      </c>
      <c r="AP126" s="1" t="str">
        <f t="shared" si="261"/>
        <v>13</v>
      </c>
      <c r="AQ126" s="1" t="str">
        <f t="shared" si="261"/>
        <v>14</v>
      </c>
      <c r="AR126" s="1" t="str">
        <f t="shared" ref="AR126:AS126" si="263">AR2</f>
        <v>15</v>
      </c>
      <c r="AS126" s="1" t="str">
        <f t="shared" si="263"/>
        <v>16</v>
      </c>
      <c r="AT126" s="1" t="str">
        <f t="shared" ref="AT126" si="264">AT2</f>
        <v>17</v>
      </c>
      <c r="AU126" s="1">
        <v>18</v>
      </c>
      <c r="AV126" s="1">
        <v>19</v>
      </c>
      <c r="AW126" s="1">
        <v>20</v>
      </c>
      <c r="AX126" s="1">
        <v>21</v>
      </c>
      <c r="AY126" s="1">
        <v>22</v>
      </c>
    </row>
    <row r="127" spans="1:51">
      <c r="A127" s="16" t="s">
        <v>6</v>
      </c>
      <c r="B127" s="3" t="s">
        <v>20</v>
      </c>
      <c r="C127" s="3" t="s">
        <v>8</v>
      </c>
      <c r="D127" s="4">
        <v>18219</v>
      </c>
      <c r="E127" s="4">
        <v>19890</v>
      </c>
      <c r="F127" s="4">
        <v>22311</v>
      </c>
      <c r="G127" s="4">
        <v>21881</v>
      </c>
      <c r="H127" s="4">
        <v>24581</v>
      </c>
      <c r="I127" s="4">
        <v>28097</v>
      </c>
      <c r="J127" s="4">
        <v>30029</v>
      </c>
      <c r="K127" s="4">
        <v>32738</v>
      </c>
      <c r="L127" s="4">
        <f>16204+14701</f>
        <v>30905</v>
      </c>
      <c r="M127" s="4">
        <f>16064+15212</f>
        <v>31276</v>
      </c>
      <c r="N127" s="4">
        <f>16106+12349</f>
        <v>28455</v>
      </c>
      <c r="O127" s="4">
        <f>15440+10867</f>
        <v>26307</v>
      </c>
      <c r="P127" s="4">
        <f>15866+10989</f>
        <v>26855</v>
      </c>
      <c r="Q127" s="4">
        <f>17489+11704</f>
        <v>29193</v>
      </c>
      <c r="R127" s="4">
        <f>18613+13786</f>
        <v>32399</v>
      </c>
      <c r="S127" s="4">
        <f>18004+12605</f>
        <v>30609</v>
      </c>
      <c r="T127" s="4">
        <f>17351+13226</f>
        <v>30577</v>
      </c>
      <c r="U127" s="4">
        <f>23887+26049</f>
        <v>49936</v>
      </c>
      <c r="V127" s="4">
        <f>23888+16947</f>
        <v>40835</v>
      </c>
      <c r="W127" s="4">
        <f>30064+18295</f>
        <v>48359</v>
      </c>
      <c r="X127" s="4">
        <f>25361+19888</f>
        <v>45249</v>
      </c>
      <c r="Y127" s="4">
        <f>24625+17703</f>
        <v>42328</v>
      </c>
      <c r="Z127" s="4">
        <f>23956+17688</f>
        <v>41644</v>
      </c>
      <c r="AA127" s="4">
        <f>19066+12388</f>
        <v>31454</v>
      </c>
      <c r="AB127" s="4">
        <f>26448+17046</f>
        <v>43494</v>
      </c>
      <c r="AC127" s="4">
        <f>20893+10978</f>
        <v>31871</v>
      </c>
      <c r="AD127" s="4">
        <v>29064</v>
      </c>
      <c r="AE127" s="4">
        <v>24914</v>
      </c>
      <c r="AF127" s="4">
        <v>22214</v>
      </c>
      <c r="AG127" s="4">
        <v>21748</v>
      </c>
      <c r="AH127" s="4">
        <v>18328</v>
      </c>
      <c r="AI127" s="4">
        <v>18016</v>
      </c>
      <c r="AJ127" s="4">
        <v>16750</v>
      </c>
      <c r="AK127" s="4">
        <v>15314</v>
      </c>
      <c r="AL127" s="4">
        <v>14662</v>
      </c>
      <c r="AM127" s="4">
        <v>15337</v>
      </c>
      <c r="AN127" s="4">
        <v>14724</v>
      </c>
      <c r="AO127" s="4">
        <v>12979</v>
      </c>
      <c r="AP127" s="4">
        <v>11496</v>
      </c>
      <c r="AQ127" s="4">
        <v>11054</v>
      </c>
      <c r="AR127" s="4">
        <v>10232</v>
      </c>
      <c r="AS127" s="4">
        <v>9450</v>
      </c>
      <c r="AT127" s="9">
        <f t="shared" ref="AT127:AY127" si="265">ROUND(AT117/AT$348,0)</f>
        <v>9862</v>
      </c>
      <c r="AU127" s="9">
        <f t="shared" si="265"/>
        <v>9220</v>
      </c>
      <c r="AV127" s="9">
        <f t="shared" si="265"/>
        <v>9106</v>
      </c>
      <c r="AW127" s="9">
        <f t="shared" si="265"/>
        <v>8977</v>
      </c>
      <c r="AX127" s="9">
        <f t="shared" si="265"/>
        <v>8264</v>
      </c>
      <c r="AY127" s="9">
        <f t="shared" si="265"/>
        <v>7247</v>
      </c>
    </row>
    <row r="128" spans="1:51">
      <c r="A128" s="16"/>
      <c r="B128" s="3" t="s">
        <v>21</v>
      </c>
      <c r="C128" s="3" t="s">
        <v>9</v>
      </c>
      <c r="D128" s="4">
        <v>10802</v>
      </c>
      <c r="E128" s="4">
        <v>12632</v>
      </c>
      <c r="F128" s="4">
        <v>13740</v>
      </c>
      <c r="G128" s="4">
        <v>14892</v>
      </c>
      <c r="H128" s="4">
        <v>15792</v>
      </c>
      <c r="I128" s="4">
        <v>17639</v>
      </c>
      <c r="J128" s="4">
        <v>19726</v>
      </c>
      <c r="K128" s="4">
        <v>21810</v>
      </c>
      <c r="L128" s="4">
        <f>3454+20765</f>
        <v>24219</v>
      </c>
      <c r="M128" s="4">
        <f>5802+17493</f>
        <v>23295</v>
      </c>
      <c r="N128" s="4">
        <f>3234+17564</f>
        <v>20798</v>
      </c>
      <c r="O128" s="4">
        <f>3530+17909</f>
        <v>21439</v>
      </c>
      <c r="P128" s="4">
        <f>3554+16942</f>
        <v>20496</v>
      </c>
      <c r="Q128" s="4">
        <f>3935+17139</f>
        <v>21074</v>
      </c>
      <c r="R128" s="4">
        <f>4290+16404</f>
        <v>20694</v>
      </c>
      <c r="S128" s="4">
        <f>4057+19364</f>
        <v>23421</v>
      </c>
      <c r="T128" s="4">
        <f>4010+22895</f>
        <v>26905</v>
      </c>
      <c r="U128" s="4">
        <f>4623+22231</f>
        <v>26854</v>
      </c>
      <c r="V128" s="4">
        <f>4760+24784</f>
        <v>29544</v>
      </c>
      <c r="W128" s="4">
        <f>5053+20941</f>
        <v>25994</v>
      </c>
      <c r="X128" s="4">
        <f>4993+21929</f>
        <v>26922</v>
      </c>
      <c r="Y128" s="4">
        <f>5137+22362</f>
        <v>27499</v>
      </c>
      <c r="Z128" s="4">
        <f>4982+22592</f>
        <v>27574</v>
      </c>
      <c r="AA128" s="4">
        <f>4516+22579</f>
        <v>27095</v>
      </c>
      <c r="AB128" s="4">
        <f>4912+25220</f>
        <v>30132</v>
      </c>
      <c r="AC128" s="4">
        <f>4765+21986</f>
        <v>26751</v>
      </c>
      <c r="AD128" s="4">
        <v>24730</v>
      </c>
      <c r="AE128" s="4">
        <v>26628</v>
      </c>
      <c r="AF128" s="4">
        <v>26518</v>
      </c>
      <c r="AG128" s="4">
        <v>26150</v>
      </c>
      <c r="AH128" s="4">
        <v>21895</v>
      </c>
      <c r="AI128" s="4">
        <v>20777</v>
      </c>
      <c r="AJ128" s="4">
        <v>18776</v>
      </c>
      <c r="AK128" s="4">
        <v>16701</v>
      </c>
      <c r="AL128" s="4">
        <v>14598</v>
      </c>
      <c r="AM128" s="4">
        <v>12889</v>
      </c>
      <c r="AN128" s="4">
        <v>11651</v>
      </c>
      <c r="AO128" s="4">
        <v>10710</v>
      </c>
      <c r="AP128" s="4">
        <v>10004</v>
      </c>
      <c r="AQ128" s="4">
        <v>10287</v>
      </c>
      <c r="AR128" s="4">
        <v>9747</v>
      </c>
      <c r="AS128" s="4">
        <v>9334</v>
      </c>
      <c r="AT128" s="9">
        <f t="shared" ref="AT128" si="266">ROUND(AT118/AT$348,0)</f>
        <v>8060</v>
      </c>
      <c r="AU128" s="9">
        <f t="shared" ref="AU128:AV128" si="267">ROUND(AU118/AU$348,0)</f>
        <v>8026</v>
      </c>
      <c r="AV128" s="9">
        <f t="shared" si="267"/>
        <v>7496</v>
      </c>
      <c r="AW128" s="9">
        <f t="shared" ref="AW128:AX132" si="268">ROUND(AW118/AW$348,0)</f>
        <v>7002</v>
      </c>
      <c r="AX128" s="9">
        <f t="shared" si="268"/>
        <v>6818</v>
      </c>
      <c r="AY128" s="9">
        <f t="shared" ref="AY128" si="269">ROUND(AY118/AY$348,0)</f>
        <v>6671</v>
      </c>
    </row>
    <row r="129" spans="1:51">
      <c r="A129" s="16"/>
      <c r="C129" s="3" t="s">
        <v>11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AG129" s="4">
        <v>3312</v>
      </c>
      <c r="AH129" s="4">
        <v>3769</v>
      </c>
      <c r="AI129" s="4">
        <v>6528</v>
      </c>
      <c r="AJ129" s="4">
        <v>9307</v>
      </c>
      <c r="AK129" s="4">
        <v>10921</v>
      </c>
      <c r="AL129" s="4">
        <v>11354</v>
      </c>
      <c r="AM129" s="4">
        <v>11898</v>
      </c>
      <c r="AN129" s="4">
        <v>12580</v>
      </c>
      <c r="AO129" s="4">
        <v>13301</v>
      </c>
      <c r="AP129" s="4">
        <v>14792</v>
      </c>
      <c r="AQ129" s="4">
        <v>16233</v>
      </c>
      <c r="AR129" s="4">
        <v>18052</v>
      </c>
      <c r="AS129" s="4">
        <v>18460</v>
      </c>
      <c r="AT129" s="9">
        <f t="shared" ref="AT129" si="270">ROUND(AT119/AT$348,0)</f>
        <v>18799</v>
      </c>
      <c r="AU129" s="9">
        <f t="shared" ref="AU129:AV129" si="271">ROUND(AU119/AU$348,0)</f>
        <v>19566</v>
      </c>
      <c r="AV129" s="9">
        <f t="shared" si="271"/>
        <v>20640</v>
      </c>
      <c r="AW129" s="9">
        <f t="shared" si="268"/>
        <v>20423</v>
      </c>
      <c r="AX129" s="9">
        <f t="shared" si="268"/>
        <v>21359</v>
      </c>
      <c r="AY129" s="9">
        <f t="shared" ref="AY129" si="272">ROUND(AY119/AY$348,0)</f>
        <v>23136</v>
      </c>
    </row>
    <row r="130" spans="1:51">
      <c r="A130" s="16"/>
      <c r="C130" s="3" t="s">
        <v>26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AM130" s="4">
        <v>426</v>
      </c>
      <c r="AN130" s="4">
        <v>336</v>
      </c>
      <c r="AO130" s="4">
        <v>276</v>
      </c>
      <c r="AP130" s="4">
        <v>482</v>
      </c>
      <c r="AQ130" s="4">
        <v>421</v>
      </c>
      <c r="AR130" s="4">
        <v>465</v>
      </c>
      <c r="AS130" s="4">
        <v>587</v>
      </c>
      <c r="AT130" s="9">
        <f t="shared" ref="AT130" si="273">ROUND(AT120/AT$348,0)</f>
        <v>835</v>
      </c>
      <c r="AU130" s="9">
        <f t="shared" ref="AU130:AV130" si="274">ROUND(AU120/AU$348,0)</f>
        <v>691</v>
      </c>
      <c r="AV130" s="9">
        <f t="shared" si="274"/>
        <v>880</v>
      </c>
      <c r="AW130" s="9">
        <f t="shared" si="268"/>
        <v>1837</v>
      </c>
      <c r="AX130" s="9">
        <f t="shared" si="268"/>
        <v>2230</v>
      </c>
      <c r="AY130" s="9">
        <f t="shared" ref="AY130" si="275">ROUND(AY120/AY$348,0)</f>
        <v>1272</v>
      </c>
    </row>
    <row r="131" spans="1:51">
      <c r="A131" s="16"/>
      <c r="C131" s="3" t="s">
        <v>24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AM131" s="4">
        <v>3356</v>
      </c>
      <c r="AN131" s="4">
        <v>3716</v>
      </c>
      <c r="AO131" s="4">
        <v>3803</v>
      </c>
      <c r="AP131" s="4">
        <v>4146</v>
      </c>
      <c r="AQ131" s="4">
        <v>4258</v>
      </c>
      <c r="AR131" s="4">
        <v>4169</v>
      </c>
      <c r="AS131" s="4">
        <v>4007</v>
      </c>
      <c r="AT131" s="9">
        <f t="shared" ref="AT131" si="276">ROUND(AT121/AT$348,0)</f>
        <v>4028</v>
      </c>
      <c r="AU131" s="9">
        <f t="shared" ref="AU131:AV131" si="277">ROUND(AU121/AU$348,0)</f>
        <v>4131</v>
      </c>
      <c r="AV131" s="9">
        <f t="shared" si="277"/>
        <v>4410</v>
      </c>
      <c r="AW131" s="9">
        <f t="shared" si="268"/>
        <v>4689</v>
      </c>
      <c r="AX131" s="9">
        <f t="shared" si="268"/>
        <v>5200</v>
      </c>
      <c r="AY131" s="9">
        <f t="shared" ref="AY131" si="278">ROUND(AY121/AY$348,0)</f>
        <v>5108</v>
      </c>
    </row>
    <row r="132" spans="1:51">
      <c r="A132" s="16"/>
      <c r="C132" s="3" t="s">
        <v>10</v>
      </c>
      <c r="D132" s="4">
        <v>598</v>
      </c>
      <c r="E132" s="4">
        <v>353</v>
      </c>
      <c r="F132" s="4">
        <v>458</v>
      </c>
      <c r="G132" s="4">
        <v>703</v>
      </c>
      <c r="H132" s="4">
        <v>934</v>
      </c>
      <c r="I132" s="4">
        <v>644</v>
      </c>
      <c r="J132" s="4">
        <v>1982</v>
      </c>
      <c r="K132" s="4">
        <v>1064</v>
      </c>
      <c r="L132" s="4">
        <v>1236</v>
      </c>
      <c r="M132" s="4">
        <v>1668</v>
      </c>
      <c r="N132" s="4">
        <v>946</v>
      </c>
      <c r="O132" s="4">
        <v>1048</v>
      </c>
      <c r="P132" s="4">
        <v>1282</v>
      </c>
      <c r="Q132" s="4">
        <v>1758</v>
      </c>
      <c r="R132" s="4">
        <v>1734</v>
      </c>
      <c r="S132" s="4">
        <v>1814</v>
      </c>
      <c r="T132" s="4">
        <v>2527</v>
      </c>
      <c r="U132" s="4">
        <v>2732</v>
      </c>
      <c r="V132" s="4">
        <v>4249</v>
      </c>
      <c r="W132" s="4">
        <v>5359</v>
      </c>
      <c r="X132" s="4">
        <v>6691</v>
      </c>
      <c r="Y132" s="4">
        <v>6765</v>
      </c>
      <c r="Z132" s="4">
        <v>14494</v>
      </c>
      <c r="AA132" s="4">
        <v>4221</v>
      </c>
      <c r="AB132" s="4">
        <v>5033</v>
      </c>
      <c r="AC132" s="4">
        <v>3917</v>
      </c>
      <c r="AD132" s="4">
        <v>3898</v>
      </c>
      <c r="AE132" s="4">
        <v>4512</v>
      </c>
      <c r="AF132" s="4">
        <v>3153</v>
      </c>
      <c r="AG132" s="4">
        <v>2592</v>
      </c>
      <c r="AH132" s="4">
        <v>2897</v>
      </c>
      <c r="AI132" s="4">
        <v>3715</v>
      </c>
      <c r="AJ132" s="4">
        <v>3720</v>
      </c>
      <c r="AK132" s="4">
        <v>3468</v>
      </c>
      <c r="AL132" s="4">
        <v>3777</v>
      </c>
      <c r="AM132" s="4">
        <v>1605</v>
      </c>
      <c r="AN132" s="4">
        <v>1503</v>
      </c>
      <c r="AO132" s="4">
        <v>1254</v>
      </c>
      <c r="AP132" s="4">
        <v>1193</v>
      </c>
      <c r="AQ132" s="4">
        <v>1350</v>
      </c>
      <c r="AR132" s="4">
        <v>1370</v>
      </c>
      <c r="AS132" s="4">
        <v>1511</v>
      </c>
      <c r="AT132" s="9">
        <f t="shared" ref="AT132" si="279">ROUND(AT122/AT$348,0)</f>
        <v>1339</v>
      </c>
      <c r="AU132" s="9">
        <f t="shared" ref="AU132:AV132" si="280">ROUND(AU122/AU$348,0)</f>
        <v>1155</v>
      </c>
      <c r="AV132" s="9">
        <f t="shared" si="280"/>
        <v>1175</v>
      </c>
      <c r="AW132" s="9">
        <f t="shared" si="268"/>
        <v>1140</v>
      </c>
      <c r="AX132" s="9">
        <f t="shared" si="268"/>
        <v>1165</v>
      </c>
      <c r="AY132" s="9">
        <f t="shared" ref="AY132" si="281">ROUND(AY122/AY$348,0)</f>
        <v>1045</v>
      </c>
    </row>
    <row r="133" spans="1:51">
      <c r="A133" s="16"/>
      <c r="C133" s="3" t="s">
        <v>17</v>
      </c>
      <c r="D133" s="4">
        <v>29619</v>
      </c>
      <c r="E133" s="4">
        <v>32874</v>
      </c>
      <c r="F133" s="4">
        <v>36508</v>
      </c>
      <c r="G133" s="4">
        <v>37476</v>
      </c>
      <c r="H133" s="4">
        <v>41307</v>
      </c>
      <c r="I133" s="4">
        <v>46380</v>
      </c>
      <c r="J133" s="4">
        <v>51737</v>
      </c>
      <c r="K133" s="4">
        <v>55613</v>
      </c>
      <c r="L133" s="4">
        <v>56360</v>
      </c>
      <c r="M133" s="4">
        <v>56239</v>
      </c>
      <c r="N133" s="4">
        <v>50199</v>
      </c>
      <c r="O133" s="4">
        <v>48794</v>
      </c>
      <c r="P133" s="4">
        <v>48633</v>
      </c>
      <c r="Q133" s="4">
        <v>52027</v>
      </c>
      <c r="R133" s="4">
        <v>54828</v>
      </c>
      <c r="S133" s="4">
        <v>55844</v>
      </c>
      <c r="T133" s="4">
        <v>60009</v>
      </c>
      <c r="U133" s="4">
        <v>79522</v>
      </c>
      <c r="V133" s="4">
        <v>74629</v>
      </c>
      <c r="W133" s="4">
        <v>79711</v>
      </c>
      <c r="X133" s="4">
        <v>78862</v>
      </c>
      <c r="Y133" s="4">
        <v>76593</v>
      </c>
      <c r="Z133" s="4">
        <v>83712</v>
      </c>
      <c r="AA133" s="4">
        <v>62771</v>
      </c>
      <c r="AB133" s="4">
        <v>78659</v>
      </c>
      <c r="AC133" s="4">
        <v>62540</v>
      </c>
      <c r="AD133" s="4">
        <v>57722</v>
      </c>
      <c r="AE133" s="4">
        <v>56054</v>
      </c>
      <c r="AF133" s="4">
        <v>51885</v>
      </c>
      <c r="AG133" s="4">
        <v>53802</v>
      </c>
      <c r="AH133" s="4">
        <v>46889</v>
      </c>
      <c r="AI133" s="4">
        <v>49035</v>
      </c>
      <c r="AJ133" s="4">
        <v>48552</v>
      </c>
      <c r="AK133" s="4">
        <v>46404</v>
      </c>
      <c r="AL133" s="4">
        <v>44392</v>
      </c>
      <c r="AM133" s="4">
        <v>45510</v>
      </c>
      <c r="AN133" s="4">
        <v>44509</v>
      </c>
      <c r="AO133" s="4">
        <v>42323</v>
      </c>
      <c r="AP133" s="4">
        <v>42113</v>
      </c>
      <c r="AQ133" s="4">
        <v>43663</v>
      </c>
      <c r="AR133" s="4">
        <v>44035</v>
      </c>
      <c r="AS133" s="4">
        <v>43349</v>
      </c>
      <c r="AT133" s="9">
        <f t="shared" ref="AT133:AY133" si="282">SUM(AT127:AT132)</f>
        <v>42923</v>
      </c>
      <c r="AU133" s="9">
        <f t="shared" si="282"/>
        <v>42789</v>
      </c>
      <c r="AV133" s="9">
        <f t="shared" si="282"/>
        <v>43707</v>
      </c>
      <c r="AW133" s="9">
        <f t="shared" si="282"/>
        <v>44068</v>
      </c>
      <c r="AX133" s="9">
        <f t="shared" si="282"/>
        <v>45036</v>
      </c>
      <c r="AY133" s="9">
        <f t="shared" si="282"/>
        <v>44479</v>
      </c>
    </row>
    <row r="134" spans="1:51">
      <c r="A134" s="16"/>
      <c r="C134" s="10" t="s">
        <v>12</v>
      </c>
      <c r="D134" s="8">
        <f t="shared" ref="D134:AQ134" si="283">D133/D331*100</f>
        <v>1.9121368624919304</v>
      </c>
      <c r="E134" s="8">
        <f t="shared" ref="E134" si="284">E133/E331*100</f>
        <v>1.9235810415447629</v>
      </c>
      <c r="F134" s="8">
        <f t="shared" si="283"/>
        <v>1.8994797086368365</v>
      </c>
      <c r="G134" s="8">
        <f t="shared" si="283"/>
        <v>1.7669024045261668</v>
      </c>
      <c r="H134" s="8">
        <f t="shared" si="283"/>
        <v>1.7209930571989482</v>
      </c>
      <c r="I134" s="8">
        <f t="shared" si="283"/>
        <v>1.4769872771462491</v>
      </c>
      <c r="J134" s="8">
        <f t="shared" si="283"/>
        <v>2.0058247503816871</v>
      </c>
      <c r="K134" s="8">
        <f t="shared" si="283"/>
        <v>2.095079296790531</v>
      </c>
      <c r="L134" s="8">
        <f t="shared" si="283"/>
        <v>2.0796104088264626</v>
      </c>
      <c r="M134" s="8">
        <f t="shared" si="283"/>
        <v>1.7520292466981418</v>
      </c>
      <c r="N134" s="8">
        <f t="shared" si="283"/>
        <v>1.5791589647054085</v>
      </c>
      <c r="O134" s="8">
        <f t="shared" si="283"/>
        <v>1.3121467289511028</v>
      </c>
      <c r="P134" s="8">
        <f t="shared" si="283"/>
        <v>1.4190417055228044</v>
      </c>
      <c r="Q134" s="8">
        <f t="shared" si="283"/>
        <v>1.5400750456158465</v>
      </c>
      <c r="R134" s="8">
        <f t="shared" si="283"/>
        <v>1.1129280554978174</v>
      </c>
      <c r="S134" s="8">
        <f t="shared" si="283"/>
        <v>1.6406513953645518</v>
      </c>
      <c r="T134" s="8">
        <f t="shared" si="283"/>
        <v>1.3628986505238878</v>
      </c>
      <c r="U134" s="8">
        <f t="shared" si="283"/>
        <v>2.2827528181327312</v>
      </c>
      <c r="V134" s="8">
        <f t="shared" si="283"/>
        <v>1.928428329232063</v>
      </c>
      <c r="W134" s="8">
        <f t="shared" si="283"/>
        <v>2.0120448566029001</v>
      </c>
      <c r="X134" s="8">
        <f t="shared" si="283"/>
        <v>1.8358708805112558</v>
      </c>
      <c r="Y134" s="8">
        <f t="shared" si="283"/>
        <v>1.9139383680510005</v>
      </c>
      <c r="Z134" s="8">
        <f t="shared" si="283"/>
        <v>2.0103968487644197</v>
      </c>
      <c r="AA134" s="8">
        <f t="shared" si="283"/>
        <v>0.96372745478674893</v>
      </c>
      <c r="AB134" s="8">
        <f t="shared" si="283"/>
        <v>1.9344197306435065</v>
      </c>
      <c r="AC134" s="8">
        <f t="shared" si="283"/>
        <v>1.6966993852381187</v>
      </c>
      <c r="AD134" s="8">
        <f t="shared" si="283"/>
        <v>1.509067555622716</v>
      </c>
      <c r="AE134" s="8">
        <f t="shared" si="283"/>
        <v>1.5070690070051527</v>
      </c>
      <c r="AF134" s="8">
        <f t="shared" si="283"/>
        <v>1.3911306539399952</v>
      </c>
      <c r="AG134" s="8">
        <f t="shared" si="283"/>
        <v>1.3567211940720045</v>
      </c>
      <c r="AH134" s="8">
        <f t="shared" si="283"/>
        <v>1.2353429974396846</v>
      </c>
      <c r="AI134" s="8">
        <f t="shared" si="283"/>
        <v>1.2461482747447536</v>
      </c>
      <c r="AJ134" s="8">
        <f t="shared" si="283"/>
        <v>1.2084282343910731</v>
      </c>
      <c r="AK134" s="8">
        <f t="shared" si="283"/>
        <v>0.99318464386377159</v>
      </c>
      <c r="AL134" s="8">
        <f t="shared" si="283"/>
        <v>0.96947863224717601</v>
      </c>
      <c r="AM134" s="8">
        <f t="shared" si="283"/>
        <v>1.0001773551143873</v>
      </c>
      <c r="AN134" s="8">
        <f t="shared" si="283"/>
        <v>0.94254876332960347</v>
      </c>
      <c r="AO134" s="8">
        <f t="shared" si="283"/>
        <v>0.91975589948336944</v>
      </c>
      <c r="AP134" s="8">
        <f t="shared" si="283"/>
        <v>1.0134982282492444</v>
      </c>
      <c r="AQ134" s="8">
        <f t="shared" si="283"/>
        <v>0.99397532078315132</v>
      </c>
      <c r="AR134" s="8">
        <f t="shared" ref="AR134:AW134" si="285">AR133/AR331*100</f>
        <v>0.97352997747185088</v>
      </c>
      <c r="AS134" s="8">
        <f t="shared" si="285"/>
        <v>0.94072125796973127</v>
      </c>
      <c r="AT134" s="40">
        <f t="shared" si="285"/>
        <v>0.94580241671429621</v>
      </c>
      <c r="AU134" s="40">
        <f t="shared" ref="AU134:AV134" si="286">AU133/AU331*100</f>
        <v>0.93033246628358768</v>
      </c>
      <c r="AV134" s="40">
        <f t="shared" si="286"/>
        <v>0.94175436683884062</v>
      </c>
      <c r="AW134" s="40">
        <f t="shared" si="285"/>
        <v>1.1482488636111381</v>
      </c>
      <c r="AX134" s="40">
        <f t="shared" ref="AX134:AY134" si="287">AX133/AX331*100</f>
        <v>0.98273934860677259</v>
      </c>
      <c r="AY134" s="40">
        <f t="shared" si="287"/>
        <v>0.40593720790521898</v>
      </c>
    </row>
    <row r="135" spans="1:51">
      <c r="A135" s="16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AQ135" s="4"/>
      <c r="AR135" s="4"/>
      <c r="AS135" s="4"/>
      <c r="AT135" s="9"/>
      <c r="AU135" s="9"/>
      <c r="AV135" s="9"/>
      <c r="AW135" s="9"/>
      <c r="AX135" s="9"/>
      <c r="AY135" s="9"/>
    </row>
    <row r="136" spans="1:51" s="22" customFormat="1">
      <c r="A136" s="24" t="s">
        <v>6</v>
      </c>
      <c r="B136" s="22" t="s">
        <v>3</v>
      </c>
      <c r="C136" s="22" t="s">
        <v>8</v>
      </c>
      <c r="D136" s="23">
        <v>120558</v>
      </c>
      <c r="E136" s="23">
        <v>125251</v>
      </c>
      <c r="F136" s="23">
        <v>126914</v>
      </c>
      <c r="G136" s="23">
        <v>136923</v>
      </c>
      <c r="H136" s="23">
        <v>172185</v>
      </c>
      <c r="I136" s="23">
        <v>160763</v>
      </c>
      <c r="J136" s="23">
        <v>167781</v>
      </c>
      <c r="K136" s="23">
        <v>176555</v>
      </c>
      <c r="L136" s="23">
        <f>73938+100908</f>
        <v>174846</v>
      </c>
      <c r="M136" s="23">
        <f>75795+102672</f>
        <v>178467</v>
      </c>
      <c r="N136" s="23">
        <f>71100+97752</f>
        <v>168852</v>
      </c>
      <c r="O136" s="23">
        <f>74087+78838</f>
        <v>152925</v>
      </c>
      <c r="P136" s="23">
        <f>83006+88325</f>
        <v>171331</v>
      </c>
      <c r="Q136" s="23">
        <f>84126+92829</f>
        <v>176955</v>
      </c>
      <c r="R136" s="23">
        <f>78012+84587</f>
        <v>162599</v>
      </c>
      <c r="S136" s="23">
        <f>82749+93207</f>
        <v>175956</v>
      </c>
      <c r="T136" s="23">
        <f>91942+104740</f>
        <v>196682</v>
      </c>
      <c r="U136" s="23">
        <f>92225+111947</f>
        <v>204172</v>
      </c>
      <c r="V136" s="23">
        <f>150847+113831</f>
        <v>264678</v>
      </c>
      <c r="W136" s="23">
        <f>164185+128067</f>
        <v>292252</v>
      </c>
      <c r="X136" s="23">
        <f>191472+103878</f>
        <v>295350</v>
      </c>
      <c r="Y136" s="23">
        <f>102408+115073</f>
        <v>217481</v>
      </c>
      <c r="Z136" s="23">
        <f>105130+96986</f>
        <v>202116</v>
      </c>
      <c r="AA136" s="23">
        <f>113687+132771</f>
        <v>246458</v>
      </c>
      <c r="AB136" s="23">
        <f>123013+117879</f>
        <v>240892</v>
      </c>
      <c r="AC136" s="23">
        <f>124129+105472</f>
        <v>229601</v>
      </c>
      <c r="AD136" s="23">
        <v>247055</v>
      </c>
      <c r="AE136" s="23">
        <v>239208</v>
      </c>
      <c r="AF136" s="23">
        <v>230441</v>
      </c>
      <c r="AG136" s="23">
        <v>222200</v>
      </c>
      <c r="AH136" s="23">
        <v>127076</v>
      </c>
      <c r="AI136" s="23">
        <v>122691</v>
      </c>
      <c r="AJ136" s="23">
        <v>107517</v>
      </c>
      <c r="AK136" s="23">
        <v>102980</v>
      </c>
      <c r="AL136" s="23">
        <v>110725</v>
      </c>
      <c r="AM136" s="23">
        <v>95035</v>
      </c>
      <c r="AN136" s="23">
        <v>63611</v>
      </c>
      <c r="AO136" s="23">
        <v>122187</v>
      </c>
      <c r="AP136" s="23">
        <v>115868</v>
      </c>
      <c r="AQ136" s="23">
        <v>101396</v>
      </c>
      <c r="AR136" s="23">
        <v>66129</v>
      </c>
      <c r="AS136" s="23">
        <v>56481</v>
      </c>
      <c r="AT136" s="23">
        <v>107763</v>
      </c>
      <c r="AU136" s="23">
        <v>50790</v>
      </c>
      <c r="AV136" s="23">
        <v>51493</v>
      </c>
      <c r="AW136" s="23">
        <v>52674</v>
      </c>
      <c r="AX136" s="23">
        <v>63635</v>
      </c>
      <c r="AY136" s="23">
        <v>42300</v>
      </c>
    </row>
    <row r="137" spans="1:51">
      <c r="A137" s="16"/>
      <c r="B137" s="3" t="s">
        <v>21</v>
      </c>
      <c r="C137" s="3" t="s">
        <v>9</v>
      </c>
      <c r="D137" s="4">
        <v>67545</v>
      </c>
      <c r="E137" s="4">
        <v>92553</v>
      </c>
      <c r="F137" s="4">
        <v>85989</v>
      </c>
      <c r="G137" s="4">
        <v>77926</v>
      </c>
      <c r="H137" s="4">
        <v>92167</v>
      </c>
      <c r="I137" s="4">
        <v>87997</v>
      </c>
      <c r="J137" s="4">
        <v>91469</v>
      </c>
      <c r="K137" s="4">
        <f>12815+114017</f>
        <v>126832</v>
      </c>
      <c r="L137" s="4">
        <f>10481+116384</f>
        <v>126865</v>
      </c>
      <c r="M137" s="4">
        <f>7710+116271</f>
        <v>123981</v>
      </c>
      <c r="N137" s="4">
        <f>12036+122321</f>
        <v>134357</v>
      </c>
      <c r="O137" s="4">
        <f>8361+125218</f>
        <v>133579</v>
      </c>
      <c r="P137" s="4">
        <f>9314+116886</f>
        <v>126200</v>
      </c>
      <c r="Q137" s="4">
        <f>9668+117612</f>
        <v>127280</v>
      </c>
      <c r="R137" s="4">
        <f>10096+111754</f>
        <v>121850</v>
      </c>
      <c r="S137" s="4">
        <f>9236+118033</f>
        <v>127269</v>
      </c>
      <c r="T137" s="4">
        <f>10108+140834</f>
        <v>150942</v>
      </c>
      <c r="U137" s="4">
        <f>12899+149867</f>
        <v>162766</v>
      </c>
      <c r="V137" s="4">
        <f>11346+170527</f>
        <v>181873</v>
      </c>
      <c r="W137" s="4">
        <f>16435+158403</f>
        <v>174838</v>
      </c>
      <c r="X137" s="4">
        <f>16888+166228</f>
        <v>183116</v>
      </c>
      <c r="Y137" s="4">
        <f>20711+168268</f>
        <v>188979</v>
      </c>
      <c r="Z137" s="4">
        <f>30490+160953</f>
        <v>191443</v>
      </c>
      <c r="AA137" s="4">
        <f>32472+201954</f>
        <v>234426</v>
      </c>
      <c r="AB137" s="4">
        <f>31510+238137</f>
        <v>269647</v>
      </c>
      <c r="AC137" s="4">
        <f>28735+218175</f>
        <v>246910</v>
      </c>
      <c r="AD137" s="4">
        <v>260938</v>
      </c>
      <c r="AE137" s="4">
        <v>286122</v>
      </c>
      <c r="AF137" s="4">
        <v>295584</v>
      </c>
      <c r="AG137" s="4">
        <v>342308</v>
      </c>
      <c r="AH137" s="4">
        <v>246845</v>
      </c>
      <c r="AI137" s="4">
        <v>213774</v>
      </c>
      <c r="AJ137" s="4">
        <v>188589</v>
      </c>
      <c r="AK137" s="4">
        <v>162150</v>
      </c>
      <c r="AL137" s="4">
        <v>141090</v>
      </c>
      <c r="AM137" s="4">
        <v>113902</v>
      </c>
      <c r="AN137" s="4">
        <v>95945</v>
      </c>
      <c r="AO137" s="4">
        <v>109441</v>
      </c>
      <c r="AP137" s="4">
        <v>97716</v>
      </c>
      <c r="AQ137" s="4">
        <v>96098</v>
      </c>
      <c r="AR137" s="4">
        <v>81931</v>
      </c>
      <c r="AS137" s="4">
        <v>66579</v>
      </c>
      <c r="AT137" s="4">
        <v>85497</v>
      </c>
      <c r="AU137" s="4">
        <v>45662</v>
      </c>
      <c r="AV137" s="4">
        <v>35099</v>
      </c>
      <c r="AW137" s="4">
        <v>32227</v>
      </c>
      <c r="AX137" s="4">
        <v>40167</v>
      </c>
      <c r="AY137" s="4">
        <v>40923</v>
      </c>
    </row>
    <row r="138" spans="1:51">
      <c r="A138" s="16"/>
      <c r="C138" s="3" t="s">
        <v>11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AG138" s="4">
        <v>78886</v>
      </c>
      <c r="AH138" s="4">
        <v>47266</v>
      </c>
      <c r="AI138" s="4">
        <v>47348</v>
      </c>
      <c r="AJ138" s="4">
        <v>132211</v>
      </c>
      <c r="AK138" s="4">
        <v>61183</v>
      </c>
      <c r="AL138" s="4">
        <v>69185</v>
      </c>
      <c r="AM138" s="4">
        <v>75753</v>
      </c>
      <c r="AN138" s="4">
        <v>92153</v>
      </c>
      <c r="AO138" s="4">
        <v>195244</v>
      </c>
      <c r="AP138" s="4">
        <v>203392</v>
      </c>
      <c r="AQ138" s="4">
        <v>238753</v>
      </c>
      <c r="AR138" s="4">
        <v>153070</v>
      </c>
      <c r="AS138" s="4">
        <v>146173</v>
      </c>
      <c r="AT138" s="4">
        <v>393634</v>
      </c>
      <c r="AU138" s="4">
        <v>155607</v>
      </c>
      <c r="AV138" s="4">
        <v>169644</v>
      </c>
      <c r="AW138" s="4">
        <v>172642</v>
      </c>
      <c r="AX138" s="4">
        <v>317359</v>
      </c>
      <c r="AY138" s="4">
        <v>357244</v>
      </c>
    </row>
    <row r="139" spans="1:51">
      <c r="A139" s="16"/>
      <c r="C139" s="3" t="s">
        <v>26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AM139" s="4">
        <v>7643</v>
      </c>
      <c r="AN139" s="4">
        <v>7030</v>
      </c>
      <c r="AO139" s="4">
        <v>6919</v>
      </c>
      <c r="AP139" s="4">
        <v>9702</v>
      </c>
      <c r="AQ139" s="4">
        <v>9256</v>
      </c>
      <c r="AR139" s="4">
        <v>4010</v>
      </c>
      <c r="AS139" s="4">
        <v>4700</v>
      </c>
      <c r="AT139" s="4">
        <v>14352</v>
      </c>
      <c r="AU139" s="4">
        <v>4417</v>
      </c>
      <c r="AV139" s="4">
        <v>15289</v>
      </c>
      <c r="AW139" s="4">
        <v>15391</v>
      </c>
      <c r="AX139" s="4">
        <v>19215</v>
      </c>
      <c r="AY139" s="4">
        <v>19249</v>
      </c>
    </row>
    <row r="140" spans="1:51">
      <c r="A140" s="16"/>
      <c r="C140" s="3" t="s">
        <v>24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AM140" s="4">
        <v>30659</v>
      </c>
      <c r="AN140" s="4">
        <v>29639</v>
      </c>
      <c r="AO140" s="4">
        <v>60480</v>
      </c>
      <c r="AP140" s="4">
        <v>67586</v>
      </c>
      <c r="AQ140" s="4">
        <v>64218</v>
      </c>
      <c r="AR140" s="4">
        <v>37126</v>
      </c>
      <c r="AS140" s="4">
        <v>37754</v>
      </c>
      <c r="AT140" s="4">
        <v>92354</v>
      </c>
      <c r="AU140" s="4">
        <v>38499</v>
      </c>
      <c r="AV140" s="4">
        <v>42879</v>
      </c>
      <c r="AW140" s="4">
        <v>39358</v>
      </c>
      <c r="AX140" s="4">
        <v>82111</v>
      </c>
      <c r="AY140" s="4">
        <v>62351</v>
      </c>
    </row>
    <row r="141" spans="1:51">
      <c r="A141" s="16"/>
      <c r="C141" s="3" t="s">
        <v>10</v>
      </c>
      <c r="D141" s="4">
        <v>4380</v>
      </c>
      <c r="E141" s="4">
        <v>2662</v>
      </c>
      <c r="F141" s="4">
        <v>2375</v>
      </c>
      <c r="G141" s="4">
        <v>2670</v>
      </c>
      <c r="H141" s="4">
        <v>2417</v>
      </c>
      <c r="I141" s="4">
        <v>3564</v>
      </c>
      <c r="J141" s="4">
        <v>5619</v>
      </c>
      <c r="K141" s="4">
        <v>6026</v>
      </c>
      <c r="L141" s="4">
        <v>6693</v>
      </c>
      <c r="M141" s="4">
        <v>7359</v>
      </c>
      <c r="N141" s="4">
        <v>10220</v>
      </c>
      <c r="O141" s="4">
        <v>12519</v>
      </c>
      <c r="P141" s="4">
        <v>18302</v>
      </c>
      <c r="Q141" s="4">
        <v>18139</v>
      </c>
      <c r="R141" s="4">
        <v>21800</v>
      </c>
      <c r="S141" s="4">
        <v>22528</v>
      </c>
      <c r="T141" s="4">
        <v>33490</v>
      </c>
      <c r="U141" s="4">
        <v>27337</v>
      </c>
      <c r="V141" s="4">
        <v>57805</v>
      </c>
      <c r="W141" s="4">
        <v>92776</v>
      </c>
      <c r="X141" s="4">
        <v>68840</v>
      </c>
      <c r="Y141" s="4">
        <v>1377</v>
      </c>
      <c r="Z141" s="4">
        <v>47185</v>
      </c>
      <c r="AA141" s="4">
        <v>64167</v>
      </c>
      <c r="AB141" s="4">
        <v>81321</v>
      </c>
      <c r="AC141" s="4">
        <v>53619</v>
      </c>
      <c r="AD141" s="4">
        <v>51342</v>
      </c>
      <c r="AE141" s="4">
        <v>48004</v>
      </c>
      <c r="AF141" s="4">
        <v>44698</v>
      </c>
      <c r="AG141" s="4">
        <v>3631</v>
      </c>
      <c r="AH141" s="4">
        <v>23085</v>
      </c>
      <c r="AI141" s="4">
        <v>43414</v>
      </c>
      <c r="AJ141" s="4">
        <v>42925</v>
      </c>
      <c r="AK141" s="4">
        <v>36069</v>
      </c>
      <c r="AL141" s="4">
        <v>43517</v>
      </c>
      <c r="AM141" s="4">
        <v>1524</v>
      </c>
      <c r="AN141" s="4">
        <v>2004</v>
      </c>
      <c r="AO141" s="4">
        <v>1905</v>
      </c>
      <c r="AP141" s="4">
        <v>2214</v>
      </c>
      <c r="AQ141" s="4">
        <v>4761</v>
      </c>
      <c r="AR141" s="4">
        <v>1173</v>
      </c>
      <c r="AS141" s="4">
        <v>237</v>
      </c>
      <c r="AT141" s="4">
        <v>5065</v>
      </c>
      <c r="AU141" s="4">
        <v>271</v>
      </c>
      <c r="AV141" s="4">
        <v>199</v>
      </c>
      <c r="AW141" s="4">
        <v>687</v>
      </c>
      <c r="AX141" s="4">
        <v>2103</v>
      </c>
      <c r="AY141" s="4">
        <v>4320</v>
      </c>
    </row>
    <row r="142" spans="1:51">
      <c r="A142" s="16"/>
      <c r="C142" s="3" t="s">
        <v>17</v>
      </c>
      <c r="D142" s="4">
        <v>192483</v>
      </c>
      <c r="E142" s="4">
        <v>220466</v>
      </c>
      <c r="F142" s="4">
        <v>215278</v>
      </c>
      <c r="G142" s="4">
        <v>217519</v>
      </c>
      <c r="H142" s="4">
        <v>266769</v>
      </c>
      <c r="I142" s="4">
        <v>252324</v>
      </c>
      <c r="J142" s="4">
        <v>264869</v>
      </c>
      <c r="K142" s="4">
        <v>309413</v>
      </c>
      <c r="L142" s="4">
        <v>308404</v>
      </c>
      <c r="M142" s="4">
        <v>309807</v>
      </c>
      <c r="N142" s="4">
        <v>313429</v>
      </c>
      <c r="O142" s="4">
        <v>299023</v>
      </c>
      <c r="P142" s="4">
        <v>315833</v>
      </c>
      <c r="Q142" s="4">
        <v>322374</v>
      </c>
      <c r="R142" s="4">
        <v>306249</v>
      </c>
      <c r="S142" s="4">
        <v>325753</v>
      </c>
      <c r="T142" s="4">
        <v>381114</v>
      </c>
      <c r="U142" s="4">
        <v>394275</v>
      </c>
      <c r="V142" s="4">
        <v>504356</v>
      </c>
      <c r="W142" s="4">
        <v>559866</v>
      </c>
      <c r="X142" s="4">
        <v>547306</v>
      </c>
      <c r="Y142" s="4">
        <v>407837</v>
      </c>
      <c r="Z142" s="4">
        <v>440744</v>
      </c>
      <c r="AA142" s="4">
        <v>545051</v>
      </c>
      <c r="AB142" s="4">
        <v>591860</v>
      </c>
      <c r="AC142" s="4">
        <v>530130</v>
      </c>
      <c r="AD142" s="4">
        <v>559335</v>
      </c>
      <c r="AE142" s="4">
        <v>573334</v>
      </c>
      <c r="AF142" s="4">
        <v>570723</v>
      </c>
      <c r="AG142" s="4">
        <v>647025</v>
      </c>
      <c r="AH142" s="4">
        <v>444272</v>
      </c>
      <c r="AI142" s="4">
        <v>427227</v>
      </c>
      <c r="AJ142" s="4">
        <v>471242</v>
      </c>
      <c r="AK142" s="4">
        <v>362382</v>
      </c>
      <c r="AL142" s="4">
        <v>364517</v>
      </c>
      <c r="AM142" s="4">
        <v>324516</v>
      </c>
      <c r="AN142" s="4">
        <v>290382</v>
      </c>
      <c r="AO142" s="4">
        <v>496176</v>
      </c>
      <c r="AP142" s="4">
        <v>496478</v>
      </c>
      <c r="AQ142" s="4">
        <v>514482</v>
      </c>
      <c r="AR142" s="4">
        <v>343439</v>
      </c>
      <c r="AS142" s="4">
        <v>311924</v>
      </c>
      <c r="AT142" s="9">
        <f t="shared" ref="AT142:AY142" si="288">SUM(AT136:AT141)</f>
        <v>698665</v>
      </c>
      <c r="AU142" s="9">
        <f t="shared" si="288"/>
        <v>295246</v>
      </c>
      <c r="AV142" s="9">
        <f t="shared" si="288"/>
        <v>314603</v>
      </c>
      <c r="AW142" s="9">
        <f t="shared" si="288"/>
        <v>312979</v>
      </c>
      <c r="AX142" s="9">
        <f t="shared" si="288"/>
        <v>524590</v>
      </c>
      <c r="AY142" s="9">
        <f t="shared" si="288"/>
        <v>526387</v>
      </c>
    </row>
    <row r="143" spans="1:51">
      <c r="A143" s="16"/>
      <c r="C143" s="10" t="s">
        <v>12</v>
      </c>
      <c r="D143" s="8">
        <f t="shared" ref="D143:AQ143" si="289">D142/D314*100</f>
        <v>2.5174339523934086</v>
      </c>
      <c r="E143" s="8">
        <f t="shared" ref="E143" si="290">E142/E314*100</f>
        <v>2.6958425042797751</v>
      </c>
      <c r="F143" s="8">
        <f t="shared" si="289"/>
        <v>2.4204857207105914</v>
      </c>
      <c r="G143" s="8">
        <f t="shared" si="289"/>
        <v>2.2618176146407403</v>
      </c>
      <c r="H143" s="8">
        <f t="shared" si="289"/>
        <v>2.6226107309292761</v>
      </c>
      <c r="I143" s="8">
        <f t="shared" si="289"/>
        <v>1.1923082593444827</v>
      </c>
      <c r="J143" s="8">
        <f t="shared" si="289"/>
        <v>2.0826309168108192</v>
      </c>
      <c r="K143" s="8">
        <f t="shared" si="289"/>
        <v>2.4685894367320889</v>
      </c>
      <c r="L143" s="8">
        <f t="shared" si="289"/>
        <v>2.3831543157406694</v>
      </c>
      <c r="M143" s="8">
        <f t="shared" si="289"/>
        <v>2.3360503694767001</v>
      </c>
      <c r="N143" s="8">
        <f t="shared" si="289"/>
        <v>2.0314278307084059</v>
      </c>
      <c r="O143" s="8">
        <f t="shared" si="289"/>
        <v>2.0348621980265396</v>
      </c>
      <c r="P143" s="8">
        <f t="shared" si="289"/>
        <v>2.1229616186059017</v>
      </c>
      <c r="Q143" s="8">
        <f t="shared" si="289"/>
        <v>1.9476437892701788</v>
      </c>
      <c r="R143" s="8">
        <f t="shared" si="289"/>
        <v>1.8853053435114504</v>
      </c>
      <c r="S143" s="8">
        <f t="shared" si="289"/>
        <v>1.8071941587140685</v>
      </c>
      <c r="T143" s="8">
        <f t="shared" si="289"/>
        <v>1.92289703287352</v>
      </c>
      <c r="U143" s="8">
        <f t="shared" si="289"/>
        <v>1.7326623788427236</v>
      </c>
      <c r="V143" s="8">
        <f t="shared" si="289"/>
        <v>1.4065857718186092</v>
      </c>
      <c r="W143" s="8">
        <f t="shared" si="289"/>
        <v>1.4527446579394632</v>
      </c>
      <c r="X143" s="8">
        <f t="shared" si="289"/>
        <v>1.2003321416188664</v>
      </c>
      <c r="Y143" s="8">
        <f t="shared" si="289"/>
        <v>0.8535624418042731</v>
      </c>
      <c r="Z143" s="8">
        <f t="shared" si="289"/>
        <v>0.89385819291760604</v>
      </c>
      <c r="AA143" s="8">
        <f t="shared" si="289"/>
        <v>1.0511138334233414</v>
      </c>
      <c r="AB143" s="8">
        <f t="shared" si="289"/>
        <v>1.1349222039649987</v>
      </c>
      <c r="AC143" s="8">
        <f t="shared" si="289"/>
        <v>1.0136329840949314</v>
      </c>
      <c r="AD143" s="8">
        <f t="shared" si="289"/>
        <v>1.1090626340264822</v>
      </c>
      <c r="AE143" s="8">
        <f t="shared" si="289"/>
        <v>1.2130352189908624</v>
      </c>
      <c r="AF143" s="8">
        <f t="shared" si="289"/>
        <v>1.2130921697577874</v>
      </c>
      <c r="AG143" s="8">
        <f t="shared" si="289"/>
        <v>1.3752748025531341</v>
      </c>
      <c r="AH143" s="8">
        <f t="shared" si="289"/>
        <v>0.96567390017145649</v>
      </c>
      <c r="AI143" s="8">
        <f t="shared" si="289"/>
        <v>0.98553714146777627</v>
      </c>
      <c r="AJ143" s="8">
        <f t="shared" si="289"/>
        <v>1.0585508867358953</v>
      </c>
      <c r="AK143" s="8">
        <f t="shared" si="289"/>
        <v>0.78072388332734333</v>
      </c>
      <c r="AL143" s="8">
        <f t="shared" si="289"/>
        <v>0.7764306334609552</v>
      </c>
      <c r="AM143" s="8">
        <f t="shared" si="289"/>
        <v>0.70456758086370697</v>
      </c>
      <c r="AN143" s="8">
        <f t="shared" si="289"/>
        <v>0.58080720043956868</v>
      </c>
      <c r="AO143" s="8">
        <f t="shared" si="289"/>
        <v>0.7545678771426213</v>
      </c>
      <c r="AP143" s="8">
        <f t="shared" si="289"/>
        <v>0.73670011151448156</v>
      </c>
      <c r="AQ143" s="8">
        <f t="shared" si="289"/>
        <v>0.7325439455958096</v>
      </c>
      <c r="AR143" s="8">
        <f t="shared" ref="AR143:AW143" si="291">AR142/AR314*100</f>
        <v>0.65442539790748278</v>
      </c>
      <c r="AS143" s="8">
        <f t="shared" si="291"/>
        <v>0.58523607824584079</v>
      </c>
      <c r="AT143" s="40">
        <f t="shared" si="291"/>
        <v>0.7247175524160826</v>
      </c>
      <c r="AU143" s="40">
        <f t="shared" ref="AU143:AV143" si="292">AU142/AU314*100</f>
        <v>0.52033416815274536</v>
      </c>
      <c r="AV143" s="40">
        <f t="shared" si="292"/>
        <v>0.53362116260966086</v>
      </c>
      <c r="AW143" s="40">
        <f t="shared" si="291"/>
        <v>0.53163975853917878</v>
      </c>
      <c r="AX143" s="40">
        <f t="shared" ref="AX143:AY143" si="293">AX142/AX314*100</f>
        <v>0.65192786175068063</v>
      </c>
      <c r="AY143" s="40">
        <f t="shared" si="293"/>
        <v>1.1564357690286768</v>
      </c>
    </row>
    <row r="144" spans="1:51">
      <c r="A144" s="1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</row>
    <row r="145" spans="1:51" s="2" customFormat="1">
      <c r="A145" s="17"/>
      <c r="C145" s="3"/>
      <c r="D145" s="1">
        <f t="shared" ref="D145:AQ145" si="294">D2</f>
        <v>1975</v>
      </c>
      <c r="E145" s="1">
        <f t="shared" ref="E145" si="295">E2</f>
        <v>76</v>
      </c>
      <c r="F145" s="1">
        <f t="shared" si="294"/>
        <v>77</v>
      </c>
      <c r="G145" s="1">
        <f t="shared" si="294"/>
        <v>78</v>
      </c>
      <c r="H145" s="1">
        <f t="shared" si="294"/>
        <v>79</v>
      </c>
      <c r="I145" s="1">
        <f t="shared" si="294"/>
        <v>80</v>
      </c>
      <c r="J145" s="1">
        <f t="shared" si="294"/>
        <v>81</v>
      </c>
      <c r="K145" s="1">
        <f t="shared" si="294"/>
        <v>82</v>
      </c>
      <c r="L145" s="1">
        <f t="shared" si="294"/>
        <v>83</v>
      </c>
      <c r="M145" s="1">
        <f t="shared" si="294"/>
        <v>84</v>
      </c>
      <c r="N145" s="1">
        <f t="shared" si="294"/>
        <v>85</v>
      </c>
      <c r="O145" s="1">
        <f t="shared" si="294"/>
        <v>86</v>
      </c>
      <c r="P145" s="1">
        <f t="shared" si="294"/>
        <v>87</v>
      </c>
      <c r="Q145" s="1">
        <f t="shared" si="294"/>
        <v>88</v>
      </c>
      <c r="R145" s="1">
        <f t="shared" si="294"/>
        <v>89</v>
      </c>
      <c r="S145" s="1" t="str">
        <f t="shared" si="294"/>
        <v>90</v>
      </c>
      <c r="T145" s="1" t="str">
        <f t="shared" si="294"/>
        <v>91</v>
      </c>
      <c r="U145" s="1" t="str">
        <f t="shared" si="294"/>
        <v>92</v>
      </c>
      <c r="V145" s="1" t="str">
        <f t="shared" si="294"/>
        <v>93</v>
      </c>
      <c r="W145" s="1" t="str">
        <f t="shared" si="294"/>
        <v>94</v>
      </c>
      <c r="X145" s="1" t="str">
        <f t="shared" si="294"/>
        <v>95</v>
      </c>
      <c r="Y145" s="1" t="str">
        <f t="shared" si="294"/>
        <v>96</v>
      </c>
      <c r="Z145" s="1" t="str">
        <f t="shared" si="294"/>
        <v>97</v>
      </c>
      <c r="AA145" s="1" t="str">
        <f t="shared" si="294"/>
        <v>98</v>
      </c>
      <c r="AB145" s="1" t="str">
        <f t="shared" si="294"/>
        <v>99</v>
      </c>
      <c r="AC145" s="1" t="str">
        <f t="shared" si="294"/>
        <v>2000</v>
      </c>
      <c r="AD145" s="1" t="str">
        <f t="shared" si="294"/>
        <v>01</v>
      </c>
      <c r="AE145" s="1" t="str">
        <f t="shared" si="294"/>
        <v>02</v>
      </c>
      <c r="AF145" s="1" t="str">
        <f t="shared" si="294"/>
        <v>03</v>
      </c>
      <c r="AG145" s="1" t="str">
        <f t="shared" si="294"/>
        <v>04</v>
      </c>
      <c r="AH145" s="1" t="str">
        <f t="shared" si="294"/>
        <v>05</v>
      </c>
      <c r="AI145" s="1" t="str">
        <f t="shared" si="294"/>
        <v>06</v>
      </c>
      <c r="AJ145" s="1" t="str">
        <f t="shared" si="294"/>
        <v>07</v>
      </c>
      <c r="AK145" s="1" t="str">
        <f t="shared" si="294"/>
        <v>08</v>
      </c>
      <c r="AL145" s="1" t="str">
        <f t="shared" si="294"/>
        <v>09</v>
      </c>
      <c r="AM145" s="1" t="str">
        <f t="shared" si="294"/>
        <v>10</v>
      </c>
      <c r="AN145" s="1" t="str">
        <f t="shared" si="294"/>
        <v>11</v>
      </c>
      <c r="AO145" s="1" t="str">
        <f t="shared" si="294"/>
        <v>12</v>
      </c>
      <c r="AP145" s="1" t="str">
        <f t="shared" si="294"/>
        <v>13</v>
      </c>
      <c r="AQ145" s="1" t="str">
        <f t="shared" si="294"/>
        <v>14</v>
      </c>
      <c r="AR145" s="1" t="str">
        <f t="shared" ref="AR145:AS145" si="296">AR2</f>
        <v>15</v>
      </c>
      <c r="AS145" s="1" t="str">
        <f t="shared" si="296"/>
        <v>16</v>
      </c>
      <c r="AT145" s="1" t="str">
        <f t="shared" ref="AT145" si="297">AT2</f>
        <v>17</v>
      </c>
      <c r="AU145" s="1">
        <v>18</v>
      </c>
      <c r="AV145" s="1">
        <v>19</v>
      </c>
      <c r="AW145" s="1">
        <v>20</v>
      </c>
      <c r="AX145" s="1">
        <v>21</v>
      </c>
      <c r="AY145" s="1">
        <v>22</v>
      </c>
    </row>
    <row r="146" spans="1:51">
      <c r="A146" s="16" t="s">
        <v>6</v>
      </c>
      <c r="B146" s="3" t="s">
        <v>28</v>
      </c>
      <c r="C146" s="3" t="s">
        <v>8</v>
      </c>
      <c r="D146" s="4">
        <f t="shared" ref="D146:AQ146" si="298">D136/D349</f>
        <v>120558</v>
      </c>
      <c r="E146" s="4">
        <f t="shared" ref="E146" si="299">E136/E349</f>
        <v>125251</v>
      </c>
      <c r="F146" s="4">
        <f t="shared" si="298"/>
        <v>126914</v>
      </c>
      <c r="G146" s="4">
        <f t="shared" si="298"/>
        <v>136923</v>
      </c>
      <c r="H146" s="4">
        <f t="shared" si="298"/>
        <v>172185</v>
      </c>
      <c r="I146" s="4">
        <f t="shared" si="298"/>
        <v>160763</v>
      </c>
      <c r="J146" s="4">
        <f t="shared" si="298"/>
        <v>167781</v>
      </c>
      <c r="K146" s="4">
        <f t="shared" si="298"/>
        <v>176555</v>
      </c>
      <c r="L146" s="4">
        <f t="shared" si="298"/>
        <v>174846</v>
      </c>
      <c r="M146" s="4">
        <f t="shared" si="298"/>
        <v>178467</v>
      </c>
      <c r="N146" s="4">
        <f t="shared" si="298"/>
        <v>168852</v>
      </c>
      <c r="O146" s="4">
        <f t="shared" si="298"/>
        <v>152925</v>
      </c>
      <c r="P146" s="4">
        <f t="shared" si="298"/>
        <v>171331</v>
      </c>
      <c r="Q146" s="4">
        <f t="shared" si="298"/>
        <v>176955</v>
      </c>
      <c r="R146" s="4">
        <f t="shared" si="298"/>
        <v>162599</v>
      </c>
      <c r="S146" s="4">
        <f t="shared" si="298"/>
        <v>175956</v>
      </c>
      <c r="T146" s="4">
        <f t="shared" si="298"/>
        <v>196682</v>
      </c>
      <c r="U146" s="4">
        <f t="shared" si="298"/>
        <v>204172</v>
      </c>
      <c r="V146" s="4">
        <f t="shared" si="298"/>
        <v>264678</v>
      </c>
      <c r="W146" s="4">
        <f t="shared" si="298"/>
        <v>292252</v>
      </c>
      <c r="X146" s="4">
        <f t="shared" si="298"/>
        <v>295350</v>
      </c>
      <c r="Y146" s="4">
        <f t="shared" si="298"/>
        <v>217481</v>
      </c>
      <c r="Z146" s="4">
        <f t="shared" si="298"/>
        <v>202116</v>
      </c>
      <c r="AA146" s="4">
        <f t="shared" si="298"/>
        <v>246458</v>
      </c>
      <c r="AB146" s="4">
        <f t="shared" si="298"/>
        <v>240892</v>
      </c>
      <c r="AC146" s="4">
        <f t="shared" si="298"/>
        <v>229601</v>
      </c>
      <c r="AD146" s="4">
        <f t="shared" si="298"/>
        <v>247055</v>
      </c>
      <c r="AE146" s="4">
        <f t="shared" si="298"/>
        <v>239208</v>
      </c>
      <c r="AF146" s="4">
        <f t="shared" si="298"/>
        <v>230441</v>
      </c>
      <c r="AG146" s="4">
        <f t="shared" si="298"/>
        <v>222200</v>
      </c>
      <c r="AH146" s="4">
        <f t="shared" si="298"/>
        <v>127076</v>
      </c>
      <c r="AI146" s="4">
        <f t="shared" si="298"/>
        <v>122691</v>
      </c>
      <c r="AJ146" s="4">
        <f t="shared" si="298"/>
        <v>107517</v>
      </c>
      <c r="AK146" s="4">
        <f t="shared" si="298"/>
        <v>102980</v>
      </c>
      <c r="AL146" s="4">
        <f t="shared" si="298"/>
        <v>110725</v>
      </c>
      <c r="AM146" s="4">
        <f t="shared" si="298"/>
        <v>95035</v>
      </c>
      <c r="AN146" s="4">
        <f t="shared" si="298"/>
        <v>63611</v>
      </c>
      <c r="AO146" s="4">
        <f t="shared" si="298"/>
        <v>61093.5</v>
      </c>
      <c r="AP146" s="4">
        <f t="shared" si="298"/>
        <v>57934</v>
      </c>
      <c r="AQ146" s="4">
        <f t="shared" si="298"/>
        <v>50698</v>
      </c>
      <c r="AR146" s="4">
        <f t="shared" ref="AR146" si="300">AR136/AR349</f>
        <v>66129</v>
      </c>
      <c r="AS146" s="4">
        <v>56481</v>
      </c>
      <c r="AT146" s="9">
        <f t="shared" ref="AT146:AY146" si="301">ROUND(AT136/AT$349,0)</f>
        <v>35921</v>
      </c>
      <c r="AU146" s="9">
        <f t="shared" si="301"/>
        <v>50790</v>
      </c>
      <c r="AV146" s="9">
        <f t="shared" si="301"/>
        <v>51493</v>
      </c>
      <c r="AW146" s="9">
        <f t="shared" si="301"/>
        <v>52674</v>
      </c>
      <c r="AX146" s="9">
        <f t="shared" si="301"/>
        <v>63635</v>
      </c>
      <c r="AY146" s="9">
        <f t="shared" si="301"/>
        <v>42300</v>
      </c>
    </row>
    <row r="147" spans="1:51">
      <c r="A147" s="16"/>
      <c r="B147" s="3" t="s">
        <v>21</v>
      </c>
      <c r="C147" s="3" t="s">
        <v>9</v>
      </c>
      <c r="D147" s="4">
        <f t="shared" ref="D147:AQ147" si="302">D137/D349</f>
        <v>67545</v>
      </c>
      <c r="E147" s="4">
        <f t="shared" ref="E147" si="303">E137/E349</f>
        <v>92553</v>
      </c>
      <c r="F147" s="4">
        <f t="shared" si="302"/>
        <v>85989</v>
      </c>
      <c r="G147" s="4">
        <f t="shared" si="302"/>
        <v>77926</v>
      </c>
      <c r="H147" s="4">
        <f t="shared" si="302"/>
        <v>92167</v>
      </c>
      <c r="I147" s="4">
        <f t="shared" si="302"/>
        <v>87997</v>
      </c>
      <c r="J147" s="4">
        <f t="shared" si="302"/>
        <v>91469</v>
      </c>
      <c r="K147" s="4">
        <f t="shared" si="302"/>
        <v>126832</v>
      </c>
      <c r="L147" s="4">
        <f t="shared" si="302"/>
        <v>126865</v>
      </c>
      <c r="M147" s="4">
        <f t="shared" si="302"/>
        <v>123981</v>
      </c>
      <c r="N147" s="4">
        <f t="shared" si="302"/>
        <v>134357</v>
      </c>
      <c r="O147" s="4">
        <f t="shared" si="302"/>
        <v>133579</v>
      </c>
      <c r="P147" s="4">
        <f t="shared" si="302"/>
        <v>126200</v>
      </c>
      <c r="Q147" s="4">
        <f t="shared" si="302"/>
        <v>127280</v>
      </c>
      <c r="R147" s="4">
        <f t="shared" si="302"/>
        <v>121850</v>
      </c>
      <c r="S147" s="4">
        <f t="shared" si="302"/>
        <v>127269</v>
      </c>
      <c r="T147" s="4">
        <f t="shared" si="302"/>
        <v>150942</v>
      </c>
      <c r="U147" s="4">
        <f t="shared" si="302"/>
        <v>162766</v>
      </c>
      <c r="V147" s="4">
        <f t="shared" si="302"/>
        <v>181873</v>
      </c>
      <c r="W147" s="4">
        <f t="shared" si="302"/>
        <v>174838</v>
      </c>
      <c r="X147" s="4">
        <f t="shared" si="302"/>
        <v>183116</v>
      </c>
      <c r="Y147" s="4">
        <f t="shared" si="302"/>
        <v>188979</v>
      </c>
      <c r="Z147" s="4">
        <f t="shared" si="302"/>
        <v>191443</v>
      </c>
      <c r="AA147" s="4">
        <f t="shared" si="302"/>
        <v>234426</v>
      </c>
      <c r="AB147" s="4">
        <f t="shared" si="302"/>
        <v>269647</v>
      </c>
      <c r="AC147" s="4">
        <f t="shared" si="302"/>
        <v>246910</v>
      </c>
      <c r="AD147" s="4">
        <f t="shared" si="302"/>
        <v>260938</v>
      </c>
      <c r="AE147" s="4">
        <f t="shared" si="302"/>
        <v>286122</v>
      </c>
      <c r="AF147" s="4">
        <f t="shared" si="302"/>
        <v>295584</v>
      </c>
      <c r="AG147" s="4">
        <f t="shared" si="302"/>
        <v>342308</v>
      </c>
      <c r="AH147" s="4">
        <f t="shared" si="302"/>
        <v>246845</v>
      </c>
      <c r="AI147" s="4">
        <f t="shared" si="302"/>
        <v>213774</v>
      </c>
      <c r="AJ147" s="4">
        <f t="shared" si="302"/>
        <v>188589</v>
      </c>
      <c r="AK147" s="4">
        <f t="shared" si="302"/>
        <v>162150</v>
      </c>
      <c r="AL147" s="4">
        <f t="shared" si="302"/>
        <v>141090</v>
      </c>
      <c r="AM147" s="4">
        <f t="shared" si="302"/>
        <v>113902</v>
      </c>
      <c r="AN147" s="4">
        <f t="shared" si="302"/>
        <v>95945</v>
      </c>
      <c r="AO147" s="4">
        <f t="shared" si="302"/>
        <v>54720.5</v>
      </c>
      <c r="AP147" s="4">
        <f t="shared" si="302"/>
        <v>48858</v>
      </c>
      <c r="AQ147" s="4">
        <f t="shared" si="302"/>
        <v>48049</v>
      </c>
      <c r="AR147" s="4">
        <f t="shared" ref="AR147" si="304">AR137/AR349</f>
        <v>81931</v>
      </c>
      <c r="AS147" s="4">
        <v>66579</v>
      </c>
      <c r="AT147" s="9">
        <f t="shared" ref="AT147" si="305">ROUND(AT137/AT$349,0)</f>
        <v>28499</v>
      </c>
      <c r="AU147" s="9">
        <f t="shared" ref="AU147:AV147" si="306">ROUND(AU137/AU$349,0)</f>
        <v>45662</v>
      </c>
      <c r="AV147" s="9">
        <f t="shared" si="306"/>
        <v>35099</v>
      </c>
      <c r="AW147" s="9">
        <f t="shared" ref="AW147:AX151" si="307">ROUND(AW137/AW$349,0)</f>
        <v>32227</v>
      </c>
      <c r="AX147" s="9">
        <f t="shared" si="307"/>
        <v>40167</v>
      </c>
      <c r="AY147" s="9">
        <f t="shared" ref="AY147" si="308">ROUND(AY137/AY$349,0)</f>
        <v>40923</v>
      </c>
    </row>
    <row r="148" spans="1:51">
      <c r="A148" s="16"/>
      <c r="C148" s="3" t="s">
        <v>11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AG148" s="4">
        <f t="shared" ref="AG148:AQ148" si="309">AG138/AG349</f>
        <v>78886</v>
      </c>
      <c r="AH148" s="4">
        <f t="shared" si="309"/>
        <v>47266</v>
      </c>
      <c r="AI148" s="4">
        <f t="shared" si="309"/>
        <v>47348</v>
      </c>
      <c r="AJ148" s="4">
        <f t="shared" si="309"/>
        <v>132211</v>
      </c>
      <c r="AK148" s="4">
        <f t="shared" si="309"/>
        <v>61183</v>
      </c>
      <c r="AL148" s="4">
        <f t="shared" si="309"/>
        <v>69185</v>
      </c>
      <c r="AM148" s="4">
        <f t="shared" si="309"/>
        <v>75753</v>
      </c>
      <c r="AN148" s="4">
        <f t="shared" si="309"/>
        <v>92153</v>
      </c>
      <c r="AO148" s="4">
        <f t="shared" si="309"/>
        <v>97622</v>
      </c>
      <c r="AP148" s="4">
        <f t="shared" si="309"/>
        <v>101696</v>
      </c>
      <c r="AQ148" s="4">
        <f t="shared" si="309"/>
        <v>119376.5</v>
      </c>
      <c r="AR148" s="4">
        <f t="shared" ref="AR148" si="310">AR138/AR349</f>
        <v>153070</v>
      </c>
      <c r="AS148" s="4">
        <v>146173</v>
      </c>
      <c r="AT148" s="9">
        <f t="shared" ref="AT148" si="311">ROUND(AT138/AT$349,0)</f>
        <v>131211</v>
      </c>
      <c r="AU148" s="9">
        <f t="shared" ref="AU148:AV148" si="312">ROUND(AU138/AU$349,0)</f>
        <v>155607</v>
      </c>
      <c r="AV148" s="9">
        <f t="shared" si="312"/>
        <v>169644</v>
      </c>
      <c r="AW148" s="9">
        <f t="shared" si="307"/>
        <v>172642</v>
      </c>
      <c r="AX148" s="9">
        <f t="shared" si="307"/>
        <v>317359</v>
      </c>
      <c r="AY148" s="9">
        <f t="shared" ref="AY148" si="313">ROUND(AY138/AY$349,0)</f>
        <v>357244</v>
      </c>
    </row>
    <row r="149" spans="1:51">
      <c r="A149" s="16"/>
      <c r="C149" s="3" t="s">
        <v>26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AM149" s="4">
        <f t="shared" ref="AM149:AQ149" si="314">AM139/AM349</f>
        <v>7643</v>
      </c>
      <c r="AN149" s="4">
        <f t="shared" si="314"/>
        <v>7030</v>
      </c>
      <c r="AO149" s="4">
        <f t="shared" si="314"/>
        <v>3459.5</v>
      </c>
      <c r="AP149" s="4">
        <f t="shared" si="314"/>
        <v>4851</v>
      </c>
      <c r="AQ149" s="4">
        <f t="shared" si="314"/>
        <v>4628</v>
      </c>
      <c r="AR149" s="4">
        <f t="shared" ref="AR149" si="315">AR139/AR349</f>
        <v>4010</v>
      </c>
      <c r="AS149" s="4">
        <v>4700</v>
      </c>
      <c r="AT149" s="9">
        <f t="shared" ref="AT149" si="316">ROUND(AT139/AT$349,0)</f>
        <v>4784</v>
      </c>
      <c r="AU149" s="9">
        <f t="shared" ref="AU149:AV149" si="317">ROUND(AU139/AU$349,0)</f>
        <v>4417</v>
      </c>
      <c r="AV149" s="9">
        <f t="shared" si="317"/>
        <v>15289</v>
      </c>
      <c r="AW149" s="9">
        <f t="shared" si="307"/>
        <v>15391</v>
      </c>
      <c r="AX149" s="9">
        <f t="shared" si="307"/>
        <v>19215</v>
      </c>
      <c r="AY149" s="9">
        <f t="shared" ref="AY149" si="318">ROUND(AY139/AY$349,0)</f>
        <v>19249</v>
      </c>
    </row>
    <row r="150" spans="1:51">
      <c r="A150" s="16"/>
      <c r="C150" s="3" t="s">
        <v>24</v>
      </c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AM150" s="4">
        <f t="shared" ref="AM150:AQ150" si="319">AM140/AM349</f>
        <v>30659</v>
      </c>
      <c r="AN150" s="4">
        <f t="shared" si="319"/>
        <v>29639</v>
      </c>
      <c r="AO150" s="4">
        <f t="shared" si="319"/>
        <v>30240</v>
      </c>
      <c r="AP150" s="4">
        <f t="shared" si="319"/>
        <v>33793</v>
      </c>
      <c r="AQ150" s="4">
        <f t="shared" si="319"/>
        <v>32109</v>
      </c>
      <c r="AR150" s="4">
        <f t="shared" ref="AR150" si="320">AR140/AR349</f>
        <v>37126</v>
      </c>
      <c r="AS150" s="4">
        <v>37754</v>
      </c>
      <c r="AT150" s="9">
        <f t="shared" ref="AT150" si="321">ROUND(AT140/AT$349,0)</f>
        <v>30785</v>
      </c>
      <c r="AU150" s="9">
        <f t="shared" ref="AU150:AV150" si="322">ROUND(AU140/AU$349,0)</f>
        <v>38499</v>
      </c>
      <c r="AV150" s="9">
        <f t="shared" si="322"/>
        <v>42879</v>
      </c>
      <c r="AW150" s="9">
        <f t="shared" si="307"/>
        <v>39358</v>
      </c>
      <c r="AX150" s="9">
        <f t="shared" si="307"/>
        <v>82111</v>
      </c>
      <c r="AY150" s="9">
        <f t="shared" ref="AY150" si="323">ROUND(AY140/AY$349,0)</f>
        <v>62351</v>
      </c>
    </row>
    <row r="151" spans="1:51">
      <c r="A151" s="16"/>
      <c r="C151" s="3" t="s">
        <v>10</v>
      </c>
      <c r="D151" s="4">
        <f t="shared" ref="D151:AQ151" si="324">D141/D349</f>
        <v>4380</v>
      </c>
      <c r="E151" s="4">
        <f t="shared" ref="E151" si="325">E141/E349</f>
        <v>2662</v>
      </c>
      <c r="F151" s="4">
        <f t="shared" si="324"/>
        <v>2375</v>
      </c>
      <c r="G151" s="4">
        <f t="shared" si="324"/>
        <v>2670</v>
      </c>
      <c r="H151" s="4">
        <f t="shared" si="324"/>
        <v>2417</v>
      </c>
      <c r="I151" s="4">
        <f t="shared" si="324"/>
        <v>3564</v>
      </c>
      <c r="J151" s="4">
        <f t="shared" si="324"/>
        <v>5619</v>
      </c>
      <c r="K151" s="4">
        <f t="shared" si="324"/>
        <v>6026</v>
      </c>
      <c r="L151" s="4">
        <f t="shared" si="324"/>
        <v>6693</v>
      </c>
      <c r="M151" s="4">
        <f t="shared" si="324"/>
        <v>7359</v>
      </c>
      <c r="N151" s="4">
        <f t="shared" si="324"/>
        <v>10220</v>
      </c>
      <c r="O151" s="4">
        <f t="shared" si="324"/>
        <v>12519</v>
      </c>
      <c r="P151" s="4">
        <f t="shared" si="324"/>
        <v>18302</v>
      </c>
      <c r="Q151" s="4">
        <f t="shared" si="324"/>
        <v>18139</v>
      </c>
      <c r="R151" s="4">
        <f t="shared" si="324"/>
        <v>21800</v>
      </c>
      <c r="S151" s="4">
        <f t="shared" si="324"/>
        <v>22528</v>
      </c>
      <c r="T151" s="4">
        <f t="shared" si="324"/>
        <v>33490</v>
      </c>
      <c r="U151" s="4">
        <f t="shared" si="324"/>
        <v>27337</v>
      </c>
      <c r="V151" s="4">
        <f t="shared" si="324"/>
        <v>57805</v>
      </c>
      <c r="W151" s="4">
        <f t="shared" si="324"/>
        <v>92776</v>
      </c>
      <c r="X151" s="4">
        <f t="shared" si="324"/>
        <v>68840</v>
      </c>
      <c r="Y151" s="4">
        <f t="shared" si="324"/>
        <v>1377</v>
      </c>
      <c r="Z151" s="4">
        <f t="shared" si="324"/>
        <v>47185</v>
      </c>
      <c r="AA151" s="4">
        <f t="shared" si="324"/>
        <v>64167</v>
      </c>
      <c r="AB151" s="4">
        <f t="shared" si="324"/>
        <v>81321</v>
      </c>
      <c r="AC151" s="4">
        <f t="shared" si="324"/>
        <v>53619</v>
      </c>
      <c r="AD151" s="4">
        <f t="shared" si="324"/>
        <v>51342</v>
      </c>
      <c r="AE151" s="4">
        <f t="shared" si="324"/>
        <v>48004</v>
      </c>
      <c r="AF151" s="4">
        <f t="shared" si="324"/>
        <v>44698</v>
      </c>
      <c r="AG151" s="4">
        <f t="shared" si="324"/>
        <v>3631</v>
      </c>
      <c r="AH151" s="4">
        <f t="shared" si="324"/>
        <v>23085</v>
      </c>
      <c r="AI151" s="4">
        <f t="shared" si="324"/>
        <v>43414</v>
      </c>
      <c r="AJ151" s="4">
        <f t="shared" si="324"/>
        <v>42925</v>
      </c>
      <c r="AK151" s="4">
        <f t="shared" si="324"/>
        <v>36069</v>
      </c>
      <c r="AL151" s="4">
        <f t="shared" si="324"/>
        <v>43517</v>
      </c>
      <c r="AM151" s="4">
        <f t="shared" si="324"/>
        <v>1524</v>
      </c>
      <c r="AN151" s="4">
        <f t="shared" si="324"/>
        <v>2004</v>
      </c>
      <c r="AO151" s="4">
        <f t="shared" si="324"/>
        <v>952.5</v>
      </c>
      <c r="AP151" s="4">
        <f t="shared" si="324"/>
        <v>1107</v>
      </c>
      <c r="AQ151" s="4">
        <f t="shared" si="324"/>
        <v>2380.5</v>
      </c>
      <c r="AR151" s="4">
        <f t="shared" ref="AR151" si="326">AR141/AR349</f>
        <v>1173</v>
      </c>
      <c r="AS151" s="4">
        <v>237</v>
      </c>
      <c r="AT151" s="9">
        <f t="shared" ref="AT151" si="327">ROUND(AT141/AT$349,0)</f>
        <v>1688</v>
      </c>
      <c r="AU151" s="9">
        <f t="shared" ref="AU151:AV151" si="328">ROUND(AU141/AU$349,0)</f>
        <v>271</v>
      </c>
      <c r="AV151" s="9">
        <f t="shared" si="328"/>
        <v>199</v>
      </c>
      <c r="AW151" s="9">
        <f t="shared" si="307"/>
        <v>687</v>
      </c>
      <c r="AX151" s="9">
        <f t="shared" si="307"/>
        <v>2103</v>
      </c>
      <c r="AY151" s="9">
        <f t="shared" ref="AY151" si="329">ROUND(AY141/AY$349,0)</f>
        <v>4320</v>
      </c>
    </row>
    <row r="152" spans="1:51">
      <c r="A152" s="16"/>
      <c r="C152" s="3" t="s">
        <v>17</v>
      </c>
      <c r="D152" s="4">
        <f t="shared" ref="D152:AQ152" si="330">D142/D349</f>
        <v>192483</v>
      </c>
      <c r="E152" s="4">
        <f t="shared" ref="E152" si="331">E142/E349</f>
        <v>220466</v>
      </c>
      <c r="F152" s="4">
        <f t="shared" si="330"/>
        <v>215278</v>
      </c>
      <c r="G152" s="4">
        <f t="shared" si="330"/>
        <v>217519</v>
      </c>
      <c r="H152" s="4">
        <f t="shared" si="330"/>
        <v>266769</v>
      </c>
      <c r="I152" s="4">
        <f t="shared" si="330"/>
        <v>252324</v>
      </c>
      <c r="J152" s="4">
        <f t="shared" si="330"/>
        <v>264869</v>
      </c>
      <c r="K152" s="4">
        <f t="shared" si="330"/>
        <v>309413</v>
      </c>
      <c r="L152" s="4">
        <f t="shared" si="330"/>
        <v>308404</v>
      </c>
      <c r="M152" s="4">
        <f t="shared" si="330"/>
        <v>309807</v>
      </c>
      <c r="N152" s="4">
        <f t="shared" si="330"/>
        <v>313429</v>
      </c>
      <c r="O152" s="4">
        <f t="shared" si="330"/>
        <v>299023</v>
      </c>
      <c r="P152" s="4">
        <f t="shared" si="330"/>
        <v>315833</v>
      </c>
      <c r="Q152" s="4">
        <f t="shared" si="330"/>
        <v>322374</v>
      </c>
      <c r="R152" s="4">
        <f t="shared" si="330"/>
        <v>306249</v>
      </c>
      <c r="S152" s="4">
        <f t="shared" si="330"/>
        <v>325753</v>
      </c>
      <c r="T152" s="4">
        <f t="shared" si="330"/>
        <v>381114</v>
      </c>
      <c r="U152" s="4">
        <f t="shared" si="330"/>
        <v>394275</v>
      </c>
      <c r="V152" s="4">
        <f t="shared" si="330"/>
        <v>504356</v>
      </c>
      <c r="W152" s="4">
        <f t="shared" si="330"/>
        <v>559866</v>
      </c>
      <c r="X152" s="4">
        <f t="shared" si="330"/>
        <v>547306</v>
      </c>
      <c r="Y152" s="4">
        <f t="shared" si="330"/>
        <v>407837</v>
      </c>
      <c r="Z152" s="4">
        <f t="shared" si="330"/>
        <v>440744</v>
      </c>
      <c r="AA152" s="4">
        <f t="shared" si="330"/>
        <v>545051</v>
      </c>
      <c r="AB152" s="4">
        <f t="shared" si="330"/>
        <v>591860</v>
      </c>
      <c r="AC152" s="4">
        <f t="shared" si="330"/>
        <v>530130</v>
      </c>
      <c r="AD152" s="4">
        <f t="shared" si="330"/>
        <v>559335</v>
      </c>
      <c r="AE152" s="4">
        <f t="shared" si="330"/>
        <v>573334</v>
      </c>
      <c r="AF152" s="4">
        <f t="shared" si="330"/>
        <v>570723</v>
      </c>
      <c r="AG152" s="4">
        <f t="shared" si="330"/>
        <v>647025</v>
      </c>
      <c r="AH152" s="4">
        <f t="shared" si="330"/>
        <v>444272</v>
      </c>
      <c r="AI152" s="4">
        <f t="shared" si="330"/>
        <v>427227</v>
      </c>
      <c r="AJ152" s="4">
        <f t="shared" si="330"/>
        <v>471242</v>
      </c>
      <c r="AK152" s="4">
        <f t="shared" si="330"/>
        <v>362382</v>
      </c>
      <c r="AL152" s="4">
        <f t="shared" si="330"/>
        <v>364517</v>
      </c>
      <c r="AM152" s="4">
        <f t="shared" si="330"/>
        <v>324516</v>
      </c>
      <c r="AN152" s="4">
        <f t="shared" si="330"/>
        <v>290382</v>
      </c>
      <c r="AO152" s="4">
        <f t="shared" si="330"/>
        <v>248088</v>
      </c>
      <c r="AP152" s="4">
        <f t="shared" si="330"/>
        <v>248239</v>
      </c>
      <c r="AQ152" s="4">
        <f t="shared" si="330"/>
        <v>257241</v>
      </c>
      <c r="AR152" s="4">
        <f t="shared" ref="AR152" si="332">AR142/AR349</f>
        <v>343439</v>
      </c>
      <c r="AS152" s="4">
        <v>311924</v>
      </c>
      <c r="AT152" s="9">
        <f t="shared" ref="AT152:AY152" si="333">SUM(AT146:AT151)</f>
        <v>232888</v>
      </c>
      <c r="AU152" s="9">
        <f t="shared" si="333"/>
        <v>295246</v>
      </c>
      <c r="AV152" s="9">
        <f t="shared" si="333"/>
        <v>314603</v>
      </c>
      <c r="AW152" s="9">
        <f t="shared" si="333"/>
        <v>312979</v>
      </c>
      <c r="AX152" s="9">
        <f t="shared" si="333"/>
        <v>524590</v>
      </c>
      <c r="AY152" s="9">
        <f t="shared" si="333"/>
        <v>526387</v>
      </c>
    </row>
    <row r="153" spans="1:51">
      <c r="A153" s="16"/>
      <c r="C153" s="10" t="s">
        <v>12</v>
      </c>
      <c r="D153" s="8">
        <f t="shared" ref="D153:AQ153" si="334">D152/D332*100</f>
        <v>2.5174339523934086</v>
      </c>
      <c r="E153" s="8">
        <f t="shared" ref="E153" si="335">E152/E332*100</f>
        <v>2.6958425042797751</v>
      </c>
      <c r="F153" s="8">
        <f t="shared" si="334"/>
        <v>2.4204857207105914</v>
      </c>
      <c r="G153" s="8">
        <f t="shared" si="334"/>
        <v>2.2618176146407403</v>
      </c>
      <c r="H153" s="8">
        <f t="shared" si="334"/>
        <v>2.6226107309292761</v>
      </c>
      <c r="I153" s="8">
        <f t="shared" si="334"/>
        <v>1.1923082593444827</v>
      </c>
      <c r="J153" s="8">
        <f t="shared" si="334"/>
        <v>2.0826309168108192</v>
      </c>
      <c r="K153" s="8">
        <f t="shared" si="334"/>
        <v>2.4685894367320889</v>
      </c>
      <c r="L153" s="8">
        <f t="shared" si="334"/>
        <v>2.3831543157406694</v>
      </c>
      <c r="M153" s="8">
        <f t="shared" si="334"/>
        <v>2.3360503694767001</v>
      </c>
      <c r="N153" s="8">
        <f t="shared" si="334"/>
        <v>2.0314278307084059</v>
      </c>
      <c r="O153" s="8">
        <f t="shared" si="334"/>
        <v>2.0348621980265396</v>
      </c>
      <c r="P153" s="8">
        <f t="shared" si="334"/>
        <v>2.1229616186059017</v>
      </c>
      <c r="Q153" s="8">
        <f t="shared" si="334"/>
        <v>1.9476437892701788</v>
      </c>
      <c r="R153" s="8">
        <f t="shared" si="334"/>
        <v>1.8853053435114504</v>
      </c>
      <c r="S153" s="8">
        <f t="shared" si="334"/>
        <v>1.8071941587140685</v>
      </c>
      <c r="T153" s="8">
        <f t="shared" si="334"/>
        <v>1.92289703287352</v>
      </c>
      <c r="U153" s="8">
        <f t="shared" si="334"/>
        <v>1.7326623788427236</v>
      </c>
      <c r="V153" s="8">
        <f t="shared" si="334"/>
        <v>1.4065857718186092</v>
      </c>
      <c r="W153" s="8">
        <f t="shared" si="334"/>
        <v>1.4527446579394632</v>
      </c>
      <c r="X153" s="8">
        <f t="shared" si="334"/>
        <v>1.2003321416188664</v>
      </c>
      <c r="Y153" s="8">
        <f t="shared" si="334"/>
        <v>0.8535624418042731</v>
      </c>
      <c r="Z153" s="8">
        <f t="shared" si="334"/>
        <v>0.89385819291760604</v>
      </c>
      <c r="AA153" s="8">
        <f t="shared" si="334"/>
        <v>1.0511138334233414</v>
      </c>
      <c r="AB153" s="8">
        <f t="shared" si="334"/>
        <v>1.1349222039649987</v>
      </c>
      <c r="AC153" s="8">
        <f t="shared" si="334"/>
        <v>1.0136329840949314</v>
      </c>
      <c r="AD153" s="8">
        <f t="shared" si="334"/>
        <v>1.1090626340264822</v>
      </c>
      <c r="AE153" s="8">
        <f t="shared" si="334"/>
        <v>1.2130352189908624</v>
      </c>
      <c r="AF153" s="8">
        <f t="shared" si="334"/>
        <v>1.2130921697577874</v>
      </c>
      <c r="AG153" s="8">
        <f t="shared" si="334"/>
        <v>1.3752748025531341</v>
      </c>
      <c r="AH153" s="8">
        <f t="shared" si="334"/>
        <v>0.96567390017145649</v>
      </c>
      <c r="AI153" s="8">
        <f t="shared" si="334"/>
        <v>0.98553714146777627</v>
      </c>
      <c r="AJ153" s="8">
        <f t="shared" si="334"/>
        <v>1.0585508867358953</v>
      </c>
      <c r="AK153" s="8">
        <f t="shared" si="334"/>
        <v>0.78072388332734333</v>
      </c>
      <c r="AL153" s="8">
        <f t="shared" si="334"/>
        <v>0.7764306334609552</v>
      </c>
      <c r="AM153" s="8">
        <f t="shared" si="334"/>
        <v>0.70456758086370697</v>
      </c>
      <c r="AN153" s="8">
        <f t="shared" si="334"/>
        <v>0.58080720043956868</v>
      </c>
      <c r="AO153" s="8">
        <f t="shared" si="334"/>
        <v>0.7545678771426213</v>
      </c>
      <c r="AP153" s="8">
        <f t="shared" si="334"/>
        <v>0.73670011151448156</v>
      </c>
      <c r="AQ153" s="8">
        <f t="shared" si="334"/>
        <v>0.7325439455958096</v>
      </c>
      <c r="AR153" s="8">
        <f t="shared" ref="AR153:AT153" si="336">AR152/AR332*100</f>
        <v>0.65442539790748278</v>
      </c>
      <c r="AS153" s="8">
        <f t="shared" si="336"/>
        <v>0.58523607824584079</v>
      </c>
      <c r="AT153" s="40">
        <f t="shared" si="336"/>
        <v>0.72471651512703517</v>
      </c>
      <c r="AU153" s="40">
        <f t="shared" ref="AU153:AV153" si="337">AU152/AU332*100</f>
        <v>0.52033416815274536</v>
      </c>
      <c r="AV153" s="40">
        <f t="shared" si="337"/>
        <v>0.53362116260966086</v>
      </c>
      <c r="AW153" s="40">
        <f>AW152/AW332*100</f>
        <v>0.53163975853917878</v>
      </c>
      <c r="AX153" s="40">
        <f>AX152/AX332*100</f>
        <v>0.65192786175068063</v>
      </c>
      <c r="AY153" s="40">
        <f>AY152/AY332*100</f>
        <v>1.1564357690286768</v>
      </c>
    </row>
    <row r="154" spans="1:51">
      <c r="A154" s="16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AP154" s="4"/>
      <c r="AQ154" s="4"/>
      <c r="AR154" s="4"/>
      <c r="AS154" s="4"/>
      <c r="AT154" s="4"/>
      <c r="AU154" s="4"/>
      <c r="AV154" s="43"/>
      <c r="AW154" s="4"/>
      <c r="AX154" s="4"/>
      <c r="AY154" s="4"/>
    </row>
    <row r="155" spans="1:51" s="22" customFormat="1">
      <c r="A155" s="24" t="s">
        <v>6</v>
      </c>
      <c r="B155" s="22" t="s">
        <v>4</v>
      </c>
      <c r="C155" s="22" t="s">
        <v>8</v>
      </c>
      <c r="D155" s="23">
        <v>85148</v>
      </c>
      <c r="E155" s="23">
        <v>127392</v>
      </c>
      <c r="F155" s="23">
        <v>130728</v>
      </c>
      <c r="G155" s="23">
        <v>87547</v>
      </c>
      <c r="H155" s="23">
        <v>88907</v>
      </c>
      <c r="I155" s="23">
        <v>106588</v>
      </c>
      <c r="J155" s="23">
        <v>191312</v>
      </c>
      <c r="K155" s="23">
        <v>244698</v>
      </c>
      <c r="L155" s="23">
        <f>104277+123528</f>
        <v>227805</v>
      </c>
      <c r="M155" s="23">
        <f>103818+126335</f>
        <v>230153</v>
      </c>
      <c r="N155" s="23">
        <f>71374+54899</f>
        <v>126273</v>
      </c>
      <c r="O155" s="23">
        <f>71272+57099</f>
        <v>128371</v>
      </c>
      <c r="P155" s="23">
        <f>74860+56156</f>
        <v>131016</v>
      </c>
      <c r="Q155" s="23">
        <f>70478+68376</f>
        <v>138854</v>
      </c>
      <c r="R155" s="23">
        <f>71846+41134</f>
        <v>112980</v>
      </c>
      <c r="S155" s="23">
        <f>72710+41417</f>
        <v>114127</v>
      </c>
      <c r="T155" s="23">
        <f>84878+46365</f>
        <v>131243</v>
      </c>
      <c r="U155" s="23">
        <f>76689+47264</f>
        <v>123953</v>
      </c>
      <c r="V155" s="23">
        <f>86218+43138</f>
        <v>129356</v>
      </c>
      <c r="W155" s="23">
        <f>126532+59995</f>
        <v>186527</v>
      </c>
      <c r="X155" s="23">
        <f>141170+109766</f>
        <v>250936</v>
      </c>
      <c r="Y155" s="23">
        <f>232451+123710</f>
        <v>356161</v>
      </c>
      <c r="Z155" s="23">
        <f>229305+196823</f>
        <v>426128</v>
      </c>
      <c r="AA155" s="23">
        <f>203705+108660</f>
        <v>312365</v>
      </c>
      <c r="AB155" s="23">
        <f>265749+141773</f>
        <v>407522</v>
      </c>
      <c r="AC155" s="23">
        <f>331639+209342</f>
        <v>540981</v>
      </c>
      <c r="AD155" s="23">
        <v>473805</v>
      </c>
      <c r="AE155" s="23">
        <v>294971</v>
      </c>
      <c r="AF155" s="23">
        <v>316631</v>
      </c>
      <c r="AG155" s="23">
        <v>289722</v>
      </c>
      <c r="AH155" s="23">
        <v>259721</v>
      </c>
      <c r="AI155" s="23">
        <v>227120</v>
      </c>
      <c r="AJ155" s="23">
        <v>204375</v>
      </c>
      <c r="AK155" s="23">
        <v>219526</v>
      </c>
      <c r="AL155" s="23">
        <v>190795</v>
      </c>
      <c r="AM155" s="23">
        <v>218231</v>
      </c>
      <c r="AN155" s="23">
        <v>176758</v>
      </c>
      <c r="AO155" s="23">
        <v>140400</v>
      </c>
      <c r="AP155" s="23">
        <v>133222</v>
      </c>
      <c r="AQ155" s="23">
        <v>122801</v>
      </c>
      <c r="AR155" s="23">
        <v>164821</v>
      </c>
      <c r="AS155" s="23">
        <v>137770</v>
      </c>
      <c r="AT155" s="23">
        <v>121152</v>
      </c>
      <c r="AU155" s="23">
        <v>184525</v>
      </c>
      <c r="AV155" s="6">
        <v>190669</v>
      </c>
      <c r="AW155" s="39">
        <v>192549</v>
      </c>
      <c r="AX155" s="39">
        <v>170311</v>
      </c>
      <c r="AY155" s="39">
        <v>167483</v>
      </c>
    </row>
    <row r="156" spans="1:51">
      <c r="A156" s="16"/>
      <c r="B156" s="3" t="s">
        <v>21</v>
      </c>
      <c r="C156" s="3" t="s">
        <v>9</v>
      </c>
      <c r="D156" s="4">
        <v>35991</v>
      </c>
      <c r="E156" s="4">
        <v>13996</v>
      </c>
      <c r="F156" s="4">
        <v>18631</v>
      </c>
      <c r="G156" s="4">
        <v>62581</v>
      </c>
      <c r="H156" s="4">
        <v>60925</v>
      </c>
      <c r="I156" s="4">
        <v>66915</v>
      </c>
      <c r="J156" s="4">
        <v>153834</v>
      </c>
      <c r="K156" s="4">
        <f>24436+138715</f>
        <v>163151</v>
      </c>
      <c r="L156" s="4">
        <f>24082+174232</f>
        <v>198314</v>
      </c>
      <c r="M156" s="4">
        <f>107007+78104</f>
        <v>185111</v>
      </c>
      <c r="N156" s="4">
        <f>17071+86065</f>
        <v>103136</v>
      </c>
      <c r="O156" s="4">
        <f>20413+86861</f>
        <v>107274</v>
      </c>
      <c r="P156" s="4">
        <f>19836+85546</f>
        <v>105382</v>
      </c>
      <c r="Q156" s="4">
        <f>23826+85850</f>
        <v>109676</v>
      </c>
      <c r="R156" s="4">
        <f>23973+76757</f>
        <v>100730</v>
      </c>
      <c r="S156" s="4">
        <f>25290+93504</f>
        <v>118794</v>
      </c>
      <c r="T156" s="4">
        <f>24261+119146</f>
        <v>143407</v>
      </c>
      <c r="U156" s="4">
        <f>24356+125684</f>
        <v>150040</v>
      </c>
      <c r="V156" s="4">
        <f>36388+114469</f>
        <v>150857</v>
      </c>
      <c r="W156" s="4">
        <f>54232+187364</f>
        <v>241596</v>
      </c>
      <c r="X156" s="4">
        <f>41508+162001</f>
        <v>203509</v>
      </c>
      <c r="Y156" s="4">
        <f>58433+323518</f>
        <v>381951</v>
      </c>
      <c r="Z156" s="4">
        <f>68396+364089</f>
        <v>432485</v>
      </c>
      <c r="AA156" s="4">
        <f>57481+406890</f>
        <v>464371</v>
      </c>
      <c r="AB156" s="4">
        <f>78395+528430</f>
        <v>606825</v>
      </c>
      <c r="AC156" s="4">
        <f>66563+349067</f>
        <v>415630</v>
      </c>
      <c r="AD156" s="4">
        <v>300774</v>
      </c>
      <c r="AE156" s="4">
        <v>380902</v>
      </c>
      <c r="AF156" s="4">
        <v>479955</v>
      </c>
      <c r="AG156" s="4">
        <v>476012</v>
      </c>
      <c r="AH156" s="4">
        <v>414723</v>
      </c>
      <c r="AI156" s="4">
        <v>367846</v>
      </c>
      <c r="AJ156" s="4">
        <v>272548</v>
      </c>
      <c r="AK156" s="4">
        <v>260734</v>
      </c>
      <c r="AL156" s="4">
        <v>213748</v>
      </c>
      <c r="AM156" s="4">
        <v>191159</v>
      </c>
      <c r="AN156" s="4">
        <v>156990</v>
      </c>
      <c r="AO156" s="4">
        <v>123129</v>
      </c>
      <c r="AP156" s="4">
        <v>114589</v>
      </c>
      <c r="AQ156" s="4">
        <v>109310</v>
      </c>
      <c r="AR156" s="4">
        <v>163209</v>
      </c>
      <c r="AS156" s="4">
        <v>152549</v>
      </c>
      <c r="AT156" s="4">
        <v>117475</v>
      </c>
      <c r="AU156" s="4">
        <v>171684</v>
      </c>
      <c r="AV156" s="4">
        <v>165333</v>
      </c>
      <c r="AW156" s="4">
        <v>165698</v>
      </c>
      <c r="AX156" s="4">
        <v>163508</v>
      </c>
      <c r="AY156" s="4">
        <v>146399</v>
      </c>
    </row>
    <row r="157" spans="1:51">
      <c r="A157" s="16"/>
      <c r="C157" s="3" t="s">
        <v>11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AG157" s="4">
        <v>41912</v>
      </c>
      <c r="AH157" s="4">
        <v>89180</v>
      </c>
      <c r="AI157" s="4">
        <v>124550</v>
      </c>
      <c r="AJ157" s="4">
        <v>162367</v>
      </c>
      <c r="AK157" s="4">
        <v>202893</v>
      </c>
      <c r="AL157" s="4">
        <v>203502</v>
      </c>
      <c r="AM157" s="4">
        <v>210879</v>
      </c>
      <c r="AN157" s="4">
        <v>228168</v>
      </c>
      <c r="AO157" s="4">
        <v>141595</v>
      </c>
      <c r="AP157" s="4">
        <v>180176</v>
      </c>
      <c r="AQ157" s="4">
        <v>176807</v>
      </c>
      <c r="AR157" s="4">
        <v>309173</v>
      </c>
      <c r="AS157" s="4">
        <v>307149</v>
      </c>
      <c r="AT157" s="4">
        <v>195141</v>
      </c>
      <c r="AU157" s="4">
        <v>598374</v>
      </c>
      <c r="AV157" s="4">
        <v>664846</v>
      </c>
      <c r="AW157" s="4">
        <v>688208</v>
      </c>
      <c r="AX157" s="4">
        <v>575052</v>
      </c>
      <c r="AY157" s="4">
        <v>627431</v>
      </c>
    </row>
    <row r="158" spans="1:51">
      <c r="A158" s="16"/>
      <c r="C158" s="3" t="s">
        <v>26</v>
      </c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AM158" s="4">
        <v>3827</v>
      </c>
      <c r="AN158" s="4">
        <v>2856</v>
      </c>
      <c r="AO158" s="4">
        <v>1286</v>
      </c>
      <c r="AP158" s="4">
        <v>2359</v>
      </c>
      <c r="AQ158" s="4">
        <v>3584</v>
      </c>
      <c r="AR158" s="4">
        <v>6465</v>
      </c>
      <c r="AS158" s="4">
        <v>11214</v>
      </c>
      <c r="AT158" s="4">
        <v>7626</v>
      </c>
      <c r="AU158" s="4">
        <v>15049</v>
      </c>
      <c r="AV158" s="4">
        <v>15493</v>
      </c>
      <c r="AW158" s="4">
        <v>28386</v>
      </c>
      <c r="AX158" s="4">
        <v>22677</v>
      </c>
      <c r="AY158" s="4">
        <v>21475</v>
      </c>
    </row>
    <row r="159" spans="1:51">
      <c r="A159" s="16"/>
      <c r="C159" s="3" t="s">
        <v>24</v>
      </c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AM159" s="4">
        <v>68461</v>
      </c>
      <c r="AN159" s="4">
        <v>70608</v>
      </c>
      <c r="AO159" s="4">
        <v>45220</v>
      </c>
      <c r="AP159" s="4">
        <v>61385</v>
      </c>
      <c r="AQ159" s="4">
        <v>45848</v>
      </c>
      <c r="AR159" s="4">
        <v>82911</v>
      </c>
      <c r="AS159" s="4">
        <v>87137</v>
      </c>
      <c r="AT159" s="4">
        <v>56310</v>
      </c>
      <c r="AU159" s="4">
        <v>111764</v>
      </c>
      <c r="AV159" s="4">
        <v>124673</v>
      </c>
      <c r="AW159" s="4">
        <v>139889</v>
      </c>
      <c r="AX159" s="4">
        <v>101855</v>
      </c>
      <c r="AY159" s="4">
        <v>101654</v>
      </c>
    </row>
    <row r="160" spans="1:51">
      <c r="A160" s="16"/>
      <c r="C160" s="3" t="s">
        <v>10</v>
      </c>
      <c r="D160" s="4">
        <v>0</v>
      </c>
      <c r="E160" s="4">
        <v>0</v>
      </c>
      <c r="F160" s="4">
        <v>558</v>
      </c>
      <c r="G160" s="4">
        <v>4864</v>
      </c>
      <c r="H160" s="4">
        <v>5493</v>
      </c>
      <c r="I160" s="4">
        <v>2030</v>
      </c>
      <c r="J160" s="4">
        <v>8232</v>
      </c>
      <c r="K160" s="4">
        <v>8547</v>
      </c>
      <c r="L160" s="4">
        <v>13795</v>
      </c>
      <c r="M160" s="4">
        <v>27233</v>
      </c>
      <c r="N160" s="4">
        <v>3254</v>
      </c>
      <c r="O160" s="4">
        <v>3266</v>
      </c>
      <c r="P160" s="4">
        <v>3378</v>
      </c>
      <c r="Q160" s="4">
        <v>4244</v>
      </c>
      <c r="R160" s="4">
        <v>8731</v>
      </c>
      <c r="S160" s="4">
        <v>4351</v>
      </c>
      <c r="T160" s="4">
        <v>14116</v>
      </c>
      <c r="U160" s="4">
        <v>8692</v>
      </c>
      <c r="V160" s="4">
        <v>8773</v>
      </c>
      <c r="W160" s="4">
        <v>25647</v>
      </c>
      <c r="X160" s="4">
        <v>118706</v>
      </c>
      <c r="Y160" s="4">
        <v>86446</v>
      </c>
      <c r="Z160" s="4">
        <v>643778</v>
      </c>
      <c r="AA160" s="4">
        <v>25082</v>
      </c>
      <c r="AB160" s="4">
        <v>25080</v>
      </c>
      <c r="AC160" s="4">
        <v>20462</v>
      </c>
      <c r="AD160" s="4">
        <v>32791</v>
      </c>
      <c r="AE160" s="4">
        <v>32892</v>
      </c>
      <c r="AF160" s="4">
        <v>26506</v>
      </c>
      <c r="AG160" s="4">
        <v>11257</v>
      </c>
      <c r="AH160" s="4">
        <v>25239</v>
      </c>
      <c r="AI160" s="4">
        <v>23752</v>
      </c>
      <c r="AJ160" s="4">
        <v>56686</v>
      </c>
      <c r="AK160" s="4">
        <v>40995</v>
      </c>
      <c r="AL160" s="4">
        <v>43531</v>
      </c>
      <c r="AM160" s="4">
        <v>9142</v>
      </c>
      <c r="AN160" s="4">
        <v>7177</v>
      </c>
      <c r="AO160" s="4">
        <v>6167</v>
      </c>
      <c r="AP160" s="4">
        <v>6132</v>
      </c>
      <c r="AQ160" s="4">
        <v>6192</v>
      </c>
      <c r="AR160" s="4">
        <v>11211</v>
      </c>
      <c r="AS160" s="4">
        <v>11584</v>
      </c>
      <c r="AT160" s="4">
        <v>10523</v>
      </c>
      <c r="AU160" s="4">
        <v>15575</v>
      </c>
      <c r="AV160" s="4">
        <v>18237</v>
      </c>
      <c r="AW160" s="4">
        <v>23356</v>
      </c>
      <c r="AX160" s="4">
        <v>21631</v>
      </c>
      <c r="AY160" s="4">
        <v>15452</v>
      </c>
    </row>
    <row r="161" spans="1:51">
      <c r="A161" s="16"/>
      <c r="C161" s="3" t="s">
        <v>17</v>
      </c>
      <c r="D161" s="4">
        <v>121139</v>
      </c>
      <c r="E161" s="4">
        <v>141388</v>
      </c>
      <c r="F161" s="4">
        <v>149917</v>
      </c>
      <c r="G161" s="4">
        <v>154992</v>
      </c>
      <c r="H161" s="4">
        <v>155325</v>
      </c>
      <c r="I161" s="4">
        <v>175533</v>
      </c>
      <c r="J161" s="4">
        <v>353378</v>
      </c>
      <c r="K161" s="4">
        <v>416396</v>
      </c>
      <c r="L161" s="4">
        <v>439914</v>
      </c>
      <c r="M161" s="4">
        <v>442497</v>
      </c>
      <c r="N161" s="4">
        <v>232663</v>
      </c>
      <c r="O161" s="4">
        <v>238911</v>
      </c>
      <c r="P161" s="4">
        <v>239776</v>
      </c>
      <c r="Q161" s="4">
        <v>252774</v>
      </c>
      <c r="R161" s="4">
        <v>222441</v>
      </c>
      <c r="S161" s="4">
        <v>237272</v>
      </c>
      <c r="T161" s="4">
        <v>288766</v>
      </c>
      <c r="U161" s="4">
        <v>282685</v>
      </c>
      <c r="V161" s="4">
        <v>288986</v>
      </c>
      <c r="W161" s="4">
        <v>453770</v>
      </c>
      <c r="X161" s="4">
        <v>573151</v>
      </c>
      <c r="Y161" s="4">
        <v>824558</v>
      </c>
      <c r="Z161" s="4">
        <v>1502391</v>
      </c>
      <c r="AA161" s="4">
        <v>801818</v>
      </c>
      <c r="AB161" s="4">
        <v>1039427</v>
      </c>
      <c r="AC161" s="4">
        <v>977073</v>
      </c>
      <c r="AD161" s="4">
        <v>807370</v>
      </c>
      <c r="AE161" s="4">
        <v>708765</v>
      </c>
      <c r="AF161" s="4">
        <v>823092</v>
      </c>
      <c r="AG161" s="4">
        <v>818903</v>
      </c>
      <c r="AH161" s="4">
        <v>788863</v>
      </c>
      <c r="AI161" s="4">
        <v>743268</v>
      </c>
      <c r="AJ161" s="4">
        <v>695976</v>
      </c>
      <c r="AK161" s="4">
        <v>724148</v>
      </c>
      <c r="AL161" s="4">
        <v>651576</v>
      </c>
      <c r="AM161" s="4">
        <v>701699</v>
      </c>
      <c r="AN161" s="4">
        <v>642557</v>
      </c>
      <c r="AO161" s="4">
        <v>457797</v>
      </c>
      <c r="AP161" s="4">
        <v>497863</v>
      </c>
      <c r="AQ161" s="4">
        <v>464542</v>
      </c>
      <c r="AR161" s="4">
        <v>737790</v>
      </c>
      <c r="AS161" s="4">
        <v>707403</v>
      </c>
      <c r="AT161" s="9">
        <f t="shared" ref="AT161:AY161" si="338">SUM(AT155:AT160)</f>
        <v>508227</v>
      </c>
      <c r="AU161" s="9">
        <f t="shared" si="338"/>
        <v>1096971</v>
      </c>
      <c r="AV161" s="9">
        <f t="shared" si="338"/>
        <v>1179251</v>
      </c>
      <c r="AW161" s="9">
        <f t="shared" si="338"/>
        <v>1238086</v>
      </c>
      <c r="AX161" s="9">
        <f t="shared" si="338"/>
        <v>1055034</v>
      </c>
      <c r="AY161" s="9">
        <f t="shared" si="338"/>
        <v>1079894</v>
      </c>
    </row>
    <row r="162" spans="1:51">
      <c r="A162" s="16"/>
      <c r="C162" s="10" t="s">
        <v>12</v>
      </c>
      <c r="D162" s="8">
        <f t="shared" ref="D162:AQ162" si="339">D161/D315*100</f>
        <v>2.6848182624113472</v>
      </c>
      <c r="E162" s="8">
        <f t="shared" ref="E162" si="340">E161/E315*100</f>
        <v>2.6348863212821469</v>
      </c>
      <c r="F162" s="8">
        <f t="shared" si="339"/>
        <v>2.6319698033707866</v>
      </c>
      <c r="G162" s="8">
        <f t="shared" si="339"/>
        <v>2.5784727998669106</v>
      </c>
      <c r="H162" s="8">
        <f t="shared" si="339"/>
        <v>2.4383068723598744</v>
      </c>
      <c r="I162" s="8">
        <f t="shared" si="339"/>
        <v>2.5479937994506368</v>
      </c>
      <c r="J162" s="8">
        <f t="shared" si="339"/>
        <v>2.2345042594806674</v>
      </c>
      <c r="K162" s="8">
        <f t="shared" si="339"/>
        <v>2.6862859462736357</v>
      </c>
      <c r="L162" s="8">
        <f t="shared" si="339"/>
        <v>2.7451274290780927</v>
      </c>
      <c r="M162" s="8">
        <f t="shared" si="339"/>
        <v>2.4699804632989113</v>
      </c>
      <c r="N162" s="8">
        <f t="shared" si="339"/>
        <v>1.3063294681467126</v>
      </c>
      <c r="O162" s="8">
        <f t="shared" si="339"/>
        <v>0.76116180121140542</v>
      </c>
      <c r="P162" s="8">
        <f t="shared" si="339"/>
        <v>1.2430097678309533</v>
      </c>
      <c r="Q162" s="8">
        <f t="shared" si="339"/>
        <v>1.341294693705237</v>
      </c>
      <c r="R162" s="8">
        <f t="shared" si="339"/>
        <v>1.0813747885047713</v>
      </c>
      <c r="S162" s="8">
        <f t="shared" si="339"/>
        <v>0.9324564823905267</v>
      </c>
      <c r="T162" s="8">
        <f t="shared" si="339"/>
        <v>1.0027425529351885</v>
      </c>
      <c r="U162" s="8">
        <f t="shared" si="339"/>
        <v>0.94840064394016654</v>
      </c>
      <c r="V162" s="8">
        <f t="shared" si="339"/>
        <v>0.94623370590116296</v>
      </c>
      <c r="W162" s="8">
        <f t="shared" si="339"/>
        <v>1.0091566897623447</v>
      </c>
      <c r="X162" s="8">
        <f t="shared" si="339"/>
        <v>1.3999857107177556</v>
      </c>
      <c r="Y162" s="8">
        <f t="shared" si="339"/>
        <v>1.3357634904931188</v>
      </c>
      <c r="Z162" s="8">
        <f t="shared" si="339"/>
        <v>2.3544354953210953</v>
      </c>
      <c r="AA162" s="8">
        <f t="shared" si="339"/>
        <v>0.6496405517756717</v>
      </c>
      <c r="AB162" s="8">
        <f t="shared" si="339"/>
        <v>1.5944624839043087</v>
      </c>
      <c r="AC162" s="8">
        <f t="shared" si="339"/>
        <v>1.9037624322522126</v>
      </c>
      <c r="AD162" s="8">
        <f t="shared" si="339"/>
        <v>1.525278107221627</v>
      </c>
      <c r="AE162" s="8">
        <f t="shared" si="339"/>
        <v>1.3702154731567564</v>
      </c>
      <c r="AF162" s="8">
        <f t="shared" si="339"/>
        <v>1.3601289211827126</v>
      </c>
      <c r="AG162" s="8">
        <f t="shared" si="339"/>
        <v>1.7391420138154354</v>
      </c>
      <c r="AH162" s="8">
        <f t="shared" si="339"/>
        <v>1.5346023540919904</v>
      </c>
      <c r="AI162" s="8">
        <f t="shared" si="339"/>
        <v>1.3797775601827873</v>
      </c>
      <c r="AJ162" s="8">
        <f t="shared" si="339"/>
        <v>1.338391345047764</v>
      </c>
      <c r="AK162" s="8">
        <f t="shared" si="339"/>
        <v>0.92137539695815629</v>
      </c>
      <c r="AL162" s="8">
        <f t="shared" si="339"/>
        <v>0.82512167098915401</v>
      </c>
      <c r="AM162" s="8">
        <f t="shared" si="339"/>
        <v>0.88524980095728478</v>
      </c>
      <c r="AN162" s="8">
        <f t="shared" si="339"/>
        <v>0.76810349286581225</v>
      </c>
      <c r="AO162" s="8">
        <f t="shared" si="339"/>
        <v>0.7385266281085916</v>
      </c>
      <c r="AP162" s="8">
        <f t="shared" si="339"/>
        <v>0.753374928651802</v>
      </c>
      <c r="AQ162" s="8">
        <f t="shared" si="339"/>
        <v>0.66801621063331584</v>
      </c>
      <c r="AR162" s="8">
        <f t="shared" ref="AR162:AW162" si="341">AR161/AR315*100</f>
        <v>0.81988502162445487</v>
      </c>
      <c r="AS162" s="8">
        <f t="shared" si="341"/>
        <v>0.7473118438600258</v>
      </c>
      <c r="AT162" s="40">
        <f t="shared" si="341"/>
        <v>0.61857072671334568</v>
      </c>
      <c r="AU162" s="40">
        <f t="shared" ref="AU162:AV162" si="342">AU161/AU315*100</f>
        <v>0.78845326600746735</v>
      </c>
      <c r="AV162" s="40">
        <f t="shared" si="342"/>
        <v>0.810172885560142</v>
      </c>
      <c r="AW162" s="40">
        <f t="shared" si="341"/>
        <v>0.99391783004307421</v>
      </c>
      <c r="AX162" s="40">
        <f t="shared" ref="AX162:AY162" si="343">AX161/AX315*100</f>
        <v>0.61651815232741136</v>
      </c>
      <c r="AY162" s="40">
        <f t="shared" si="343"/>
        <v>0.60508338536907524</v>
      </c>
    </row>
    <row r="163" spans="1:51">
      <c r="A163" s="16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</row>
    <row r="164" spans="1:51" s="2" customFormat="1">
      <c r="A164" s="17"/>
      <c r="C164" s="3"/>
      <c r="D164" s="1">
        <f t="shared" ref="D164:AQ164" si="344">D2</f>
        <v>1975</v>
      </c>
      <c r="E164" s="1">
        <f t="shared" ref="E164" si="345">E2</f>
        <v>76</v>
      </c>
      <c r="F164" s="1">
        <f t="shared" si="344"/>
        <v>77</v>
      </c>
      <c r="G164" s="1">
        <f t="shared" si="344"/>
        <v>78</v>
      </c>
      <c r="H164" s="1">
        <f t="shared" si="344"/>
        <v>79</v>
      </c>
      <c r="I164" s="1">
        <f t="shared" si="344"/>
        <v>80</v>
      </c>
      <c r="J164" s="1">
        <f t="shared" si="344"/>
        <v>81</v>
      </c>
      <c r="K164" s="1">
        <f t="shared" si="344"/>
        <v>82</v>
      </c>
      <c r="L164" s="1">
        <f t="shared" si="344"/>
        <v>83</v>
      </c>
      <c r="M164" s="1">
        <f t="shared" si="344"/>
        <v>84</v>
      </c>
      <c r="N164" s="1">
        <f t="shared" si="344"/>
        <v>85</v>
      </c>
      <c r="O164" s="1">
        <f t="shared" si="344"/>
        <v>86</v>
      </c>
      <c r="P164" s="1">
        <f t="shared" si="344"/>
        <v>87</v>
      </c>
      <c r="Q164" s="1">
        <f t="shared" si="344"/>
        <v>88</v>
      </c>
      <c r="R164" s="1">
        <f t="shared" si="344"/>
        <v>89</v>
      </c>
      <c r="S164" s="1" t="str">
        <f t="shared" si="344"/>
        <v>90</v>
      </c>
      <c r="T164" s="1" t="str">
        <f t="shared" si="344"/>
        <v>91</v>
      </c>
      <c r="U164" s="1" t="str">
        <f t="shared" si="344"/>
        <v>92</v>
      </c>
      <c r="V164" s="1" t="str">
        <f t="shared" si="344"/>
        <v>93</v>
      </c>
      <c r="W164" s="1" t="str">
        <f t="shared" si="344"/>
        <v>94</v>
      </c>
      <c r="X164" s="1" t="str">
        <f t="shared" si="344"/>
        <v>95</v>
      </c>
      <c r="Y164" s="1" t="str">
        <f t="shared" si="344"/>
        <v>96</v>
      </c>
      <c r="Z164" s="1" t="str">
        <f t="shared" si="344"/>
        <v>97</v>
      </c>
      <c r="AA164" s="1" t="str">
        <f t="shared" si="344"/>
        <v>98</v>
      </c>
      <c r="AB164" s="1" t="str">
        <f t="shared" si="344"/>
        <v>99</v>
      </c>
      <c r="AC164" s="1" t="str">
        <f t="shared" si="344"/>
        <v>2000</v>
      </c>
      <c r="AD164" s="1" t="str">
        <f t="shared" si="344"/>
        <v>01</v>
      </c>
      <c r="AE164" s="1" t="str">
        <f t="shared" si="344"/>
        <v>02</v>
      </c>
      <c r="AF164" s="1" t="str">
        <f t="shared" si="344"/>
        <v>03</v>
      </c>
      <c r="AG164" s="1" t="str">
        <f t="shared" si="344"/>
        <v>04</v>
      </c>
      <c r="AH164" s="1" t="str">
        <f t="shared" si="344"/>
        <v>05</v>
      </c>
      <c r="AI164" s="1" t="str">
        <f t="shared" si="344"/>
        <v>06</v>
      </c>
      <c r="AJ164" s="1" t="str">
        <f t="shared" si="344"/>
        <v>07</v>
      </c>
      <c r="AK164" s="1" t="str">
        <f t="shared" si="344"/>
        <v>08</v>
      </c>
      <c r="AL164" s="1" t="str">
        <f t="shared" si="344"/>
        <v>09</v>
      </c>
      <c r="AM164" s="1" t="str">
        <f t="shared" si="344"/>
        <v>10</v>
      </c>
      <c r="AN164" s="1" t="str">
        <f t="shared" si="344"/>
        <v>11</v>
      </c>
      <c r="AO164" s="1" t="str">
        <f t="shared" si="344"/>
        <v>12</v>
      </c>
      <c r="AP164" s="1" t="str">
        <f t="shared" si="344"/>
        <v>13</v>
      </c>
      <c r="AQ164" s="1" t="str">
        <f t="shared" si="344"/>
        <v>14</v>
      </c>
      <c r="AR164" s="1" t="str">
        <f t="shared" ref="AR164:AS164" si="346">AR2</f>
        <v>15</v>
      </c>
      <c r="AS164" s="1" t="str">
        <f t="shared" si="346"/>
        <v>16</v>
      </c>
      <c r="AT164" s="1" t="str">
        <f t="shared" ref="AT164" si="347">AT2</f>
        <v>17</v>
      </c>
      <c r="AU164" s="1">
        <v>18</v>
      </c>
      <c r="AV164" s="1">
        <v>19</v>
      </c>
      <c r="AW164" s="1">
        <v>20</v>
      </c>
      <c r="AX164" s="1">
        <v>21</v>
      </c>
      <c r="AY164" s="1">
        <v>22</v>
      </c>
    </row>
    <row r="165" spans="1:51">
      <c r="A165" s="16" t="s">
        <v>6</v>
      </c>
      <c r="B165" s="3" t="s">
        <v>29</v>
      </c>
      <c r="C165" s="3" t="s">
        <v>8</v>
      </c>
      <c r="D165" s="4">
        <f t="shared" ref="D165:AQ165" si="348">D155/D350</f>
        <v>85148</v>
      </c>
      <c r="E165" s="4">
        <f t="shared" ref="E165" si="349">E155/E350</f>
        <v>127392</v>
      </c>
      <c r="F165" s="4">
        <f t="shared" si="348"/>
        <v>130728</v>
      </c>
      <c r="G165" s="4">
        <f t="shared" si="348"/>
        <v>87547</v>
      </c>
      <c r="H165" s="4">
        <f t="shared" si="348"/>
        <v>88907</v>
      </c>
      <c r="I165" s="4">
        <f t="shared" si="348"/>
        <v>106588</v>
      </c>
      <c r="J165" s="4">
        <f t="shared" si="348"/>
        <v>95656</v>
      </c>
      <c r="K165" s="4">
        <f t="shared" si="348"/>
        <v>122349</v>
      </c>
      <c r="L165" s="4">
        <f t="shared" si="348"/>
        <v>113902.5</v>
      </c>
      <c r="M165" s="4">
        <f t="shared" si="348"/>
        <v>115076.5</v>
      </c>
      <c r="N165" s="4">
        <f t="shared" si="348"/>
        <v>63136.5</v>
      </c>
      <c r="O165" s="4">
        <f t="shared" si="348"/>
        <v>64185.5</v>
      </c>
      <c r="P165" s="4">
        <f t="shared" si="348"/>
        <v>65508</v>
      </c>
      <c r="Q165" s="4">
        <f t="shared" si="348"/>
        <v>69427</v>
      </c>
      <c r="R165" s="4">
        <f t="shared" si="348"/>
        <v>56490</v>
      </c>
      <c r="S165" s="4">
        <f t="shared" si="348"/>
        <v>57063.5</v>
      </c>
      <c r="T165" s="4">
        <f t="shared" si="348"/>
        <v>65621.5</v>
      </c>
      <c r="U165" s="4">
        <f t="shared" si="348"/>
        <v>61976.5</v>
      </c>
      <c r="V165" s="4">
        <f t="shared" si="348"/>
        <v>64678</v>
      </c>
      <c r="W165" s="4">
        <f t="shared" si="348"/>
        <v>62175.666666666664</v>
      </c>
      <c r="X165" s="4">
        <f t="shared" si="348"/>
        <v>83645.333333333328</v>
      </c>
      <c r="Y165" s="4">
        <f t="shared" si="348"/>
        <v>118720.33333333333</v>
      </c>
      <c r="Z165" s="4">
        <f t="shared" si="348"/>
        <v>71021.333333333328</v>
      </c>
      <c r="AA165" s="4">
        <f t="shared" si="348"/>
        <v>52060.833333333336</v>
      </c>
      <c r="AB165" s="4">
        <f t="shared" si="348"/>
        <v>67920.333333333328</v>
      </c>
      <c r="AC165" s="4">
        <f t="shared" si="348"/>
        <v>108196.2</v>
      </c>
      <c r="AD165" s="4">
        <f t="shared" si="348"/>
        <v>94761</v>
      </c>
      <c r="AE165" s="4">
        <f t="shared" si="348"/>
        <v>58994.2</v>
      </c>
      <c r="AF165" s="4">
        <f t="shared" si="348"/>
        <v>52771.833333333336</v>
      </c>
      <c r="AG165" s="4">
        <f t="shared" si="348"/>
        <v>57944.4</v>
      </c>
      <c r="AH165" s="4">
        <f t="shared" si="348"/>
        <v>51944.2</v>
      </c>
      <c r="AI165" s="4">
        <f t="shared" si="348"/>
        <v>45424</v>
      </c>
      <c r="AJ165" s="4">
        <f t="shared" si="348"/>
        <v>40875</v>
      </c>
      <c r="AK165" s="4">
        <f t="shared" si="348"/>
        <v>36587.666666666664</v>
      </c>
      <c r="AL165" s="4">
        <f t="shared" si="348"/>
        <v>31799.166666666668</v>
      </c>
      <c r="AM165" s="4">
        <f t="shared" si="348"/>
        <v>36371.833333333336</v>
      </c>
      <c r="AN165" s="4">
        <f t="shared" si="348"/>
        <v>29459.666666666668</v>
      </c>
      <c r="AO165" s="4">
        <f t="shared" si="348"/>
        <v>28080</v>
      </c>
      <c r="AP165" s="4">
        <f t="shared" si="348"/>
        <v>26644.400000000001</v>
      </c>
      <c r="AQ165" s="4">
        <f t="shared" si="348"/>
        <v>24560.2</v>
      </c>
      <c r="AR165" s="4">
        <f t="shared" ref="AR165" si="350">AR155/AR350</f>
        <v>23545.857142857141</v>
      </c>
      <c r="AS165" s="4">
        <v>19681</v>
      </c>
      <c r="AT165" s="9">
        <f t="shared" ref="AT165:AY165" si="351">ROUND(AT155/AT$350,0)</f>
        <v>20192</v>
      </c>
      <c r="AU165" s="9">
        <f t="shared" si="351"/>
        <v>20503</v>
      </c>
      <c r="AV165" s="9">
        <f t="shared" si="351"/>
        <v>19067</v>
      </c>
      <c r="AW165" s="9">
        <f t="shared" si="351"/>
        <v>17504</v>
      </c>
      <c r="AX165" s="9">
        <f t="shared" si="351"/>
        <v>17031</v>
      </c>
      <c r="AY165" s="9">
        <f t="shared" si="351"/>
        <v>16748</v>
      </c>
    </row>
    <row r="166" spans="1:51">
      <c r="A166" s="16"/>
      <c r="B166" s="3" t="s">
        <v>21</v>
      </c>
      <c r="C166" s="3" t="s">
        <v>9</v>
      </c>
      <c r="D166" s="4">
        <f t="shared" ref="D166:AQ166" si="352">D156/D350</f>
        <v>35991</v>
      </c>
      <c r="E166" s="4">
        <f t="shared" ref="E166" si="353">E156/E350</f>
        <v>13996</v>
      </c>
      <c r="F166" s="4">
        <f t="shared" si="352"/>
        <v>18631</v>
      </c>
      <c r="G166" s="4">
        <f t="shared" si="352"/>
        <v>62581</v>
      </c>
      <c r="H166" s="4">
        <f t="shared" si="352"/>
        <v>60925</v>
      </c>
      <c r="I166" s="4">
        <f t="shared" si="352"/>
        <v>66915</v>
      </c>
      <c r="J166" s="4">
        <f t="shared" si="352"/>
        <v>76917</v>
      </c>
      <c r="K166" s="4">
        <f t="shared" si="352"/>
        <v>81575.5</v>
      </c>
      <c r="L166" s="4">
        <f t="shared" si="352"/>
        <v>99157</v>
      </c>
      <c r="M166" s="4">
        <f t="shared" si="352"/>
        <v>92555.5</v>
      </c>
      <c r="N166" s="4">
        <f t="shared" si="352"/>
        <v>51568</v>
      </c>
      <c r="O166" s="4">
        <f t="shared" si="352"/>
        <v>53637</v>
      </c>
      <c r="P166" s="4">
        <f t="shared" si="352"/>
        <v>52691</v>
      </c>
      <c r="Q166" s="4">
        <f t="shared" si="352"/>
        <v>54838</v>
      </c>
      <c r="R166" s="4">
        <f t="shared" si="352"/>
        <v>50365</v>
      </c>
      <c r="S166" s="4">
        <f t="shared" si="352"/>
        <v>59397</v>
      </c>
      <c r="T166" s="4">
        <f t="shared" si="352"/>
        <v>71703.5</v>
      </c>
      <c r="U166" s="4">
        <f t="shared" si="352"/>
        <v>75020</v>
      </c>
      <c r="V166" s="4">
        <f t="shared" si="352"/>
        <v>75428.5</v>
      </c>
      <c r="W166" s="4">
        <f t="shared" si="352"/>
        <v>80532</v>
      </c>
      <c r="X166" s="4">
        <f t="shared" si="352"/>
        <v>67836.333333333328</v>
      </c>
      <c r="Y166" s="4">
        <f t="shared" si="352"/>
        <v>127317</v>
      </c>
      <c r="Z166" s="4">
        <f t="shared" si="352"/>
        <v>72080.833333333328</v>
      </c>
      <c r="AA166" s="4">
        <f t="shared" si="352"/>
        <v>77395.166666666672</v>
      </c>
      <c r="AB166" s="4">
        <f t="shared" si="352"/>
        <v>101137.5</v>
      </c>
      <c r="AC166" s="4">
        <f t="shared" si="352"/>
        <v>83126</v>
      </c>
      <c r="AD166" s="4">
        <f t="shared" si="352"/>
        <v>60154.8</v>
      </c>
      <c r="AE166" s="4">
        <f t="shared" si="352"/>
        <v>76180.399999999994</v>
      </c>
      <c r="AF166" s="4">
        <f t="shared" si="352"/>
        <v>79992.5</v>
      </c>
      <c r="AG166" s="4">
        <f t="shared" si="352"/>
        <v>95202.4</v>
      </c>
      <c r="AH166" s="4">
        <f t="shared" si="352"/>
        <v>82944.600000000006</v>
      </c>
      <c r="AI166" s="4">
        <f t="shared" si="352"/>
        <v>73569.2</v>
      </c>
      <c r="AJ166" s="4">
        <f t="shared" si="352"/>
        <v>54509.599999999999</v>
      </c>
      <c r="AK166" s="4">
        <f t="shared" si="352"/>
        <v>43455.666666666664</v>
      </c>
      <c r="AL166" s="4">
        <f t="shared" si="352"/>
        <v>35624.666666666664</v>
      </c>
      <c r="AM166" s="4">
        <f t="shared" si="352"/>
        <v>31859.833333333332</v>
      </c>
      <c r="AN166" s="4">
        <f t="shared" si="352"/>
        <v>26165</v>
      </c>
      <c r="AO166" s="4">
        <f t="shared" si="352"/>
        <v>24625.8</v>
      </c>
      <c r="AP166" s="4">
        <f t="shared" si="352"/>
        <v>22917.8</v>
      </c>
      <c r="AQ166" s="4">
        <f t="shared" si="352"/>
        <v>21862</v>
      </c>
      <c r="AR166" s="4">
        <f t="shared" ref="AR166" si="354">AR156/AR350</f>
        <v>23315.571428571428</v>
      </c>
      <c r="AS166" s="4">
        <v>21793</v>
      </c>
      <c r="AT166" s="9">
        <f t="shared" ref="AT166" si="355">ROUND(AT156/AT$350,0)</f>
        <v>19579</v>
      </c>
      <c r="AU166" s="9">
        <f t="shared" ref="AU166:AV166" si="356">ROUND(AU156/AU$350,0)</f>
        <v>19076</v>
      </c>
      <c r="AV166" s="9">
        <f t="shared" si="356"/>
        <v>16533</v>
      </c>
      <c r="AW166" s="9">
        <f t="shared" ref="AW166:AX170" si="357">ROUND(AW156/AW$350,0)</f>
        <v>15063</v>
      </c>
      <c r="AX166" s="9">
        <f t="shared" si="357"/>
        <v>16351</v>
      </c>
      <c r="AY166" s="9">
        <f t="shared" ref="AY166" si="358">ROUND(AY156/AY$350,0)</f>
        <v>14640</v>
      </c>
    </row>
    <row r="167" spans="1:51">
      <c r="A167" s="16"/>
      <c r="C167" s="3" t="s">
        <v>11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AG167" s="4">
        <f t="shared" ref="AG167:AQ167" si="359">AG157/AG350</f>
        <v>8382.4</v>
      </c>
      <c r="AH167" s="4">
        <f t="shared" si="359"/>
        <v>17836</v>
      </c>
      <c r="AI167" s="4">
        <f t="shared" si="359"/>
        <v>24910</v>
      </c>
      <c r="AJ167" s="4">
        <f t="shared" si="359"/>
        <v>32473.4</v>
      </c>
      <c r="AK167" s="4">
        <f t="shared" si="359"/>
        <v>33815.5</v>
      </c>
      <c r="AL167" s="4">
        <f t="shared" si="359"/>
        <v>33917</v>
      </c>
      <c r="AM167" s="4">
        <f t="shared" si="359"/>
        <v>35146.5</v>
      </c>
      <c r="AN167" s="4">
        <f t="shared" si="359"/>
        <v>38028</v>
      </c>
      <c r="AO167" s="4">
        <f t="shared" si="359"/>
        <v>28319</v>
      </c>
      <c r="AP167" s="4">
        <f t="shared" si="359"/>
        <v>36035.199999999997</v>
      </c>
      <c r="AQ167" s="4">
        <f t="shared" si="359"/>
        <v>35361.4</v>
      </c>
      <c r="AR167" s="4">
        <f t="shared" ref="AR167" si="360">AR157/AR350</f>
        <v>44167.571428571428</v>
      </c>
      <c r="AS167" s="4">
        <v>43878</v>
      </c>
      <c r="AT167" s="9">
        <f t="shared" ref="AT167" si="361">ROUND(AT157/AT$350,0)</f>
        <v>32524</v>
      </c>
      <c r="AU167" s="9">
        <f t="shared" ref="AU167:AV167" si="362">ROUND(AU157/AU$350,0)</f>
        <v>66486</v>
      </c>
      <c r="AV167" s="9">
        <f t="shared" si="362"/>
        <v>66485</v>
      </c>
      <c r="AW167" s="9">
        <f t="shared" si="357"/>
        <v>62564</v>
      </c>
      <c r="AX167" s="9">
        <f t="shared" si="357"/>
        <v>57505</v>
      </c>
      <c r="AY167" s="9">
        <f t="shared" ref="AY167" si="363">ROUND(AY157/AY$350,0)</f>
        <v>62743</v>
      </c>
    </row>
    <row r="168" spans="1:51">
      <c r="A168" s="16"/>
      <c r="C168" s="3" t="s">
        <v>26</v>
      </c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AM168" s="4">
        <f t="shared" ref="AM168:AQ168" si="364">AM158/AM350</f>
        <v>637.83333333333337</v>
      </c>
      <c r="AN168" s="4">
        <f t="shared" si="364"/>
        <v>476</v>
      </c>
      <c r="AO168" s="4">
        <f t="shared" si="364"/>
        <v>257.2</v>
      </c>
      <c r="AP168" s="4">
        <f t="shared" si="364"/>
        <v>471.8</v>
      </c>
      <c r="AQ168" s="4">
        <f t="shared" si="364"/>
        <v>716.8</v>
      </c>
      <c r="AR168" s="4">
        <f t="shared" ref="AR168" si="365">AR158/AR350</f>
        <v>923.57142857142856</v>
      </c>
      <c r="AS168" s="4">
        <v>1602</v>
      </c>
      <c r="AT168" s="9">
        <f t="shared" ref="AT168" si="366">ROUND(AT158/AT$350,0)</f>
        <v>1271</v>
      </c>
      <c r="AU168" s="9">
        <f t="shared" ref="AU168:AV168" si="367">ROUND(AU158/AU$350,0)</f>
        <v>1672</v>
      </c>
      <c r="AV168" s="9">
        <f t="shared" si="367"/>
        <v>1549</v>
      </c>
      <c r="AW168" s="9">
        <f t="shared" si="357"/>
        <v>2581</v>
      </c>
      <c r="AX168" s="9">
        <f t="shared" si="357"/>
        <v>2268</v>
      </c>
      <c r="AY168" s="9">
        <f t="shared" ref="AY168" si="368">ROUND(AY158/AY$350,0)</f>
        <v>2148</v>
      </c>
    </row>
    <row r="169" spans="1:51">
      <c r="A169" s="16"/>
      <c r="C169" s="3" t="s">
        <v>24</v>
      </c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AM169" s="4">
        <f t="shared" ref="AM169:AQ169" si="369">AM159/AM350</f>
        <v>11410.166666666666</v>
      </c>
      <c r="AN169" s="4">
        <f t="shared" si="369"/>
        <v>11768</v>
      </c>
      <c r="AO169" s="4">
        <f t="shared" si="369"/>
        <v>9044</v>
      </c>
      <c r="AP169" s="4">
        <f t="shared" si="369"/>
        <v>12277</v>
      </c>
      <c r="AQ169" s="4">
        <f t="shared" si="369"/>
        <v>9169.6</v>
      </c>
      <c r="AR169" s="4">
        <f t="shared" ref="AR169" si="370">AR159/AR350</f>
        <v>11844.428571428571</v>
      </c>
      <c r="AS169" s="4">
        <v>12448</v>
      </c>
      <c r="AT169" s="9">
        <f t="shared" ref="AT169" si="371">ROUND(AT159/AT$350,0)</f>
        <v>9385</v>
      </c>
      <c r="AU169" s="9">
        <f t="shared" ref="AU169:AV169" si="372">ROUND(AU159/AU$350,0)</f>
        <v>12418</v>
      </c>
      <c r="AV169" s="9">
        <f t="shared" si="372"/>
        <v>12467</v>
      </c>
      <c r="AW169" s="9">
        <f t="shared" si="357"/>
        <v>12717</v>
      </c>
      <c r="AX169" s="9">
        <f t="shared" si="357"/>
        <v>10186</v>
      </c>
      <c r="AY169" s="9">
        <f t="shared" ref="AY169" si="373">ROUND(AY159/AY$350,0)</f>
        <v>10165</v>
      </c>
    </row>
    <row r="170" spans="1:51">
      <c r="A170" s="16"/>
      <c r="C170" s="3" t="s">
        <v>10</v>
      </c>
      <c r="D170" s="4">
        <f t="shared" ref="D170:AQ170" si="374">D160/D350</f>
        <v>0</v>
      </c>
      <c r="E170" s="4">
        <f t="shared" ref="E170" si="375">E160/E350</f>
        <v>0</v>
      </c>
      <c r="F170" s="4">
        <f t="shared" si="374"/>
        <v>558</v>
      </c>
      <c r="G170" s="4">
        <f t="shared" si="374"/>
        <v>4864</v>
      </c>
      <c r="H170" s="4">
        <f t="shared" si="374"/>
        <v>5493</v>
      </c>
      <c r="I170" s="4">
        <f t="shared" si="374"/>
        <v>2030</v>
      </c>
      <c r="J170" s="4">
        <f t="shared" si="374"/>
        <v>4116</v>
      </c>
      <c r="K170" s="4">
        <f t="shared" si="374"/>
        <v>4273.5</v>
      </c>
      <c r="L170" s="4">
        <f t="shared" si="374"/>
        <v>6897.5</v>
      </c>
      <c r="M170" s="4">
        <f t="shared" si="374"/>
        <v>13616.5</v>
      </c>
      <c r="N170" s="4">
        <f t="shared" si="374"/>
        <v>1627</v>
      </c>
      <c r="O170" s="4">
        <f t="shared" si="374"/>
        <v>1633</v>
      </c>
      <c r="P170" s="4">
        <f t="shared" si="374"/>
        <v>1689</v>
      </c>
      <c r="Q170" s="4">
        <f t="shared" si="374"/>
        <v>2122</v>
      </c>
      <c r="R170" s="4">
        <f t="shared" si="374"/>
        <v>4365.5</v>
      </c>
      <c r="S170" s="4">
        <f t="shared" si="374"/>
        <v>2175.5</v>
      </c>
      <c r="T170" s="4">
        <f t="shared" si="374"/>
        <v>7058</v>
      </c>
      <c r="U170" s="4">
        <f t="shared" si="374"/>
        <v>4346</v>
      </c>
      <c r="V170" s="4">
        <f t="shared" si="374"/>
        <v>4386.5</v>
      </c>
      <c r="W170" s="4">
        <f t="shared" si="374"/>
        <v>8549</v>
      </c>
      <c r="X170" s="4">
        <f t="shared" si="374"/>
        <v>39568.666666666664</v>
      </c>
      <c r="Y170" s="4">
        <f t="shared" si="374"/>
        <v>28815.333333333332</v>
      </c>
      <c r="Z170" s="4">
        <f t="shared" si="374"/>
        <v>107296.33333333333</v>
      </c>
      <c r="AA170" s="4">
        <f t="shared" si="374"/>
        <v>4180.333333333333</v>
      </c>
      <c r="AB170" s="4">
        <f t="shared" si="374"/>
        <v>4180</v>
      </c>
      <c r="AC170" s="4">
        <f t="shared" si="374"/>
        <v>4092.4</v>
      </c>
      <c r="AD170" s="4">
        <f t="shared" si="374"/>
        <v>6558.2</v>
      </c>
      <c r="AE170" s="4">
        <f t="shared" si="374"/>
        <v>6578.4</v>
      </c>
      <c r="AF170" s="4">
        <f t="shared" si="374"/>
        <v>4417.666666666667</v>
      </c>
      <c r="AG170" s="4">
        <f t="shared" si="374"/>
        <v>2251.4</v>
      </c>
      <c r="AH170" s="4">
        <f t="shared" si="374"/>
        <v>5047.8</v>
      </c>
      <c r="AI170" s="4">
        <f t="shared" si="374"/>
        <v>4750.3999999999996</v>
      </c>
      <c r="AJ170" s="4">
        <f t="shared" si="374"/>
        <v>11337.2</v>
      </c>
      <c r="AK170" s="4">
        <f t="shared" si="374"/>
        <v>6832.5</v>
      </c>
      <c r="AL170" s="4">
        <f t="shared" si="374"/>
        <v>7255.166666666667</v>
      </c>
      <c r="AM170" s="4">
        <f t="shared" si="374"/>
        <v>1523.6666666666667</v>
      </c>
      <c r="AN170" s="4">
        <f t="shared" si="374"/>
        <v>1196.1666666666667</v>
      </c>
      <c r="AO170" s="4">
        <f t="shared" si="374"/>
        <v>1233.4000000000001</v>
      </c>
      <c r="AP170" s="4">
        <f t="shared" si="374"/>
        <v>1226.4000000000001</v>
      </c>
      <c r="AQ170" s="4">
        <f t="shared" si="374"/>
        <v>1238.4000000000001</v>
      </c>
      <c r="AR170" s="4">
        <f t="shared" ref="AR170" si="376">AR160/AR350</f>
        <v>1601.5714285714287</v>
      </c>
      <c r="AS170" s="4">
        <v>1655</v>
      </c>
      <c r="AT170" s="9">
        <f t="shared" ref="AT170" si="377">ROUND(AT160/AT$350,0)</f>
        <v>1754</v>
      </c>
      <c r="AU170" s="9">
        <f t="shared" ref="AU170:AV170" si="378">ROUND(AU160/AU$350,0)</f>
        <v>1731</v>
      </c>
      <c r="AV170" s="9">
        <f t="shared" si="378"/>
        <v>1824</v>
      </c>
      <c r="AW170" s="9">
        <f t="shared" si="357"/>
        <v>2123</v>
      </c>
      <c r="AX170" s="9">
        <f t="shared" si="357"/>
        <v>2163</v>
      </c>
      <c r="AY170" s="9">
        <f t="shared" ref="AY170" si="379">ROUND(AY160/AY$350,0)</f>
        <v>1545</v>
      </c>
    </row>
    <row r="171" spans="1:51">
      <c r="A171" s="16"/>
      <c r="C171" s="3" t="s">
        <v>17</v>
      </c>
      <c r="D171" s="4">
        <f t="shared" ref="D171:AQ171" si="380">D161/D350</f>
        <v>121139</v>
      </c>
      <c r="E171" s="4">
        <f t="shared" ref="E171" si="381">E161/E350</f>
        <v>141388</v>
      </c>
      <c r="F171" s="4">
        <f t="shared" si="380"/>
        <v>149917</v>
      </c>
      <c r="G171" s="4">
        <f t="shared" si="380"/>
        <v>154992</v>
      </c>
      <c r="H171" s="4">
        <f t="shared" si="380"/>
        <v>155325</v>
      </c>
      <c r="I171" s="4">
        <f t="shared" si="380"/>
        <v>175533</v>
      </c>
      <c r="J171" s="4">
        <f t="shared" si="380"/>
        <v>176689</v>
      </c>
      <c r="K171" s="4">
        <f t="shared" si="380"/>
        <v>208198</v>
      </c>
      <c r="L171" s="4">
        <f t="shared" si="380"/>
        <v>219957</v>
      </c>
      <c r="M171" s="4">
        <f t="shared" si="380"/>
        <v>221248.5</v>
      </c>
      <c r="N171" s="4">
        <f t="shared" si="380"/>
        <v>116331.5</v>
      </c>
      <c r="O171" s="4">
        <f t="shared" si="380"/>
        <v>119455.5</v>
      </c>
      <c r="P171" s="4">
        <f t="shared" si="380"/>
        <v>119888</v>
      </c>
      <c r="Q171" s="4">
        <f t="shared" si="380"/>
        <v>126387</v>
      </c>
      <c r="R171" s="4">
        <f t="shared" si="380"/>
        <v>111220.5</v>
      </c>
      <c r="S171" s="4">
        <f t="shared" si="380"/>
        <v>118636</v>
      </c>
      <c r="T171" s="4">
        <f t="shared" si="380"/>
        <v>144383</v>
      </c>
      <c r="U171" s="4">
        <f t="shared" si="380"/>
        <v>141342.5</v>
      </c>
      <c r="V171" s="4">
        <f t="shared" si="380"/>
        <v>144493</v>
      </c>
      <c r="W171" s="4">
        <f t="shared" si="380"/>
        <v>151256.66666666666</v>
      </c>
      <c r="X171" s="4">
        <f t="shared" si="380"/>
        <v>191050.33333333334</v>
      </c>
      <c r="Y171" s="4">
        <f t="shared" si="380"/>
        <v>274852.66666666669</v>
      </c>
      <c r="Z171" s="4">
        <f t="shared" si="380"/>
        <v>250398.5</v>
      </c>
      <c r="AA171" s="4">
        <f t="shared" si="380"/>
        <v>133636.33333333334</v>
      </c>
      <c r="AB171" s="4">
        <f t="shared" si="380"/>
        <v>173237.83333333334</v>
      </c>
      <c r="AC171" s="4">
        <f t="shared" si="380"/>
        <v>195414.6</v>
      </c>
      <c r="AD171" s="4">
        <f t="shared" si="380"/>
        <v>161474</v>
      </c>
      <c r="AE171" s="4">
        <f t="shared" si="380"/>
        <v>141753</v>
      </c>
      <c r="AF171" s="4">
        <f t="shared" si="380"/>
        <v>137182</v>
      </c>
      <c r="AG171" s="4">
        <f t="shared" si="380"/>
        <v>163780.6</v>
      </c>
      <c r="AH171" s="4">
        <f t="shared" si="380"/>
        <v>157772.6</v>
      </c>
      <c r="AI171" s="4">
        <f t="shared" si="380"/>
        <v>148653.6</v>
      </c>
      <c r="AJ171" s="4">
        <f t="shared" si="380"/>
        <v>139195.20000000001</v>
      </c>
      <c r="AK171" s="4">
        <f t="shared" si="380"/>
        <v>120691.33333333333</v>
      </c>
      <c r="AL171" s="4">
        <f t="shared" si="380"/>
        <v>108596</v>
      </c>
      <c r="AM171" s="4">
        <f t="shared" si="380"/>
        <v>116949.83333333333</v>
      </c>
      <c r="AN171" s="4">
        <f t="shared" si="380"/>
        <v>107092.83333333333</v>
      </c>
      <c r="AO171" s="4">
        <f t="shared" si="380"/>
        <v>91559.4</v>
      </c>
      <c r="AP171" s="4">
        <f t="shared" si="380"/>
        <v>99572.6</v>
      </c>
      <c r="AQ171" s="4">
        <f t="shared" si="380"/>
        <v>92908.4</v>
      </c>
      <c r="AR171" s="4">
        <f t="shared" ref="AR171" si="382">AR161/AR350</f>
        <v>105398.57142857143</v>
      </c>
      <c r="AS171" s="4">
        <v>101058</v>
      </c>
      <c r="AT171" s="9">
        <f t="shared" ref="AT171:AY171" si="383">SUM(AT165:AT170)</f>
        <v>84705</v>
      </c>
      <c r="AU171" s="9">
        <f t="shared" si="383"/>
        <v>121886</v>
      </c>
      <c r="AV171" s="9">
        <f t="shared" si="383"/>
        <v>117925</v>
      </c>
      <c r="AW171" s="9">
        <f t="shared" si="383"/>
        <v>112552</v>
      </c>
      <c r="AX171" s="9">
        <f t="shared" si="383"/>
        <v>105504</v>
      </c>
      <c r="AY171" s="9">
        <f t="shared" si="383"/>
        <v>107989</v>
      </c>
    </row>
    <row r="172" spans="1:51">
      <c r="A172" s="16"/>
      <c r="C172" s="10" t="s">
        <v>12</v>
      </c>
      <c r="D172" s="8">
        <f t="shared" ref="D172:AQ172" si="384">D171/D333*100</f>
        <v>2.6848182624113472</v>
      </c>
      <c r="E172" s="8">
        <f t="shared" ref="E172" si="385">E171/E333*100</f>
        <v>2.6348863212821469</v>
      </c>
      <c r="F172" s="8">
        <f t="shared" si="384"/>
        <v>2.6319698033707866</v>
      </c>
      <c r="G172" s="8">
        <f t="shared" si="384"/>
        <v>2.5784727998669106</v>
      </c>
      <c r="H172" s="8">
        <f t="shared" si="384"/>
        <v>2.4383068723598744</v>
      </c>
      <c r="I172" s="8">
        <f t="shared" si="384"/>
        <v>2.5479937994506368</v>
      </c>
      <c r="J172" s="8">
        <f t="shared" si="384"/>
        <v>2.2345042594806674</v>
      </c>
      <c r="K172" s="8">
        <f t="shared" si="384"/>
        <v>2.6862859462736357</v>
      </c>
      <c r="L172" s="8">
        <f t="shared" si="384"/>
        <v>2.7451274290780927</v>
      </c>
      <c r="M172" s="8">
        <f t="shared" si="384"/>
        <v>2.4699804632989113</v>
      </c>
      <c r="N172" s="8">
        <f t="shared" si="384"/>
        <v>1.3063294681467126</v>
      </c>
      <c r="O172" s="8">
        <f t="shared" si="384"/>
        <v>0.76116180121140542</v>
      </c>
      <c r="P172" s="8">
        <f t="shared" si="384"/>
        <v>1.2430097678309533</v>
      </c>
      <c r="Q172" s="8">
        <f t="shared" si="384"/>
        <v>1.341294693705237</v>
      </c>
      <c r="R172" s="8">
        <f t="shared" si="384"/>
        <v>1.0813747885047713</v>
      </c>
      <c r="S172" s="8">
        <f t="shared" si="384"/>
        <v>0.9324564823905267</v>
      </c>
      <c r="T172" s="8">
        <f t="shared" si="384"/>
        <v>1.0027425529351885</v>
      </c>
      <c r="U172" s="8">
        <f t="shared" si="384"/>
        <v>0.94840064394016654</v>
      </c>
      <c r="V172" s="8">
        <f t="shared" si="384"/>
        <v>0.94623370590116296</v>
      </c>
      <c r="W172" s="8">
        <f t="shared" si="384"/>
        <v>1.0091566897623447</v>
      </c>
      <c r="X172" s="8">
        <f t="shared" si="384"/>
        <v>1.3999857107177556</v>
      </c>
      <c r="Y172" s="8">
        <f t="shared" si="384"/>
        <v>1.335763490493119</v>
      </c>
      <c r="Z172" s="8">
        <f t="shared" si="384"/>
        <v>2.3544354953210953</v>
      </c>
      <c r="AA172" s="8">
        <f t="shared" si="384"/>
        <v>0.64964055177567182</v>
      </c>
      <c r="AB172" s="8">
        <f t="shared" si="384"/>
        <v>1.5944624839043089</v>
      </c>
      <c r="AC172" s="8">
        <f t="shared" si="384"/>
        <v>1.9037624322522131</v>
      </c>
      <c r="AD172" s="8">
        <f t="shared" si="384"/>
        <v>1.525278107221627</v>
      </c>
      <c r="AE172" s="8">
        <f t="shared" si="384"/>
        <v>1.3702154731567566</v>
      </c>
      <c r="AF172" s="8">
        <f t="shared" si="384"/>
        <v>1.3601289211827126</v>
      </c>
      <c r="AG172" s="8">
        <f t="shared" si="384"/>
        <v>1.7391420138154354</v>
      </c>
      <c r="AH172" s="8">
        <f t="shared" si="384"/>
        <v>1.5346023540919906</v>
      </c>
      <c r="AI172" s="8">
        <f t="shared" si="384"/>
        <v>1.3797775601827875</v>
      </c>
      <c r="AJ172" s="8">
        <f t="shared" si="384"/>
        <v>1.338391345047764</v>
      </c>
      <c r="AK172" s="8">
        <f t="shared" si="384"/>
        <v>0.92137539695815629</v>
      </c>
      <c r="AL172" s="8">
        <f t="shared" si="384"/>
        <v>0.82512167098915401</v>
      </c>
      <c r="AM172" s="8">
        <f t="shared" si="384"/>
        <v>0.88524980095728478</v>
      </c>
      <c r="AN172" s="8">
        <f t="shared" si="384"/>
        <v>0.76810349286581214</v>
      </c>
      <c r="AO172" s="8">
        <f t="shared" si="384"/>
        <v>0.73852662810859149</v>
      </c>
      <c r="AP172" s="8">
        <f t="shared" si="384"/>
        <v>0.753374928651802</v>
      </c>
      <c r="AQ172" s="8">
        <f t="shared" si="384"/>
        <v>0.66801621063331584</v>
      </c>
      <c r="AR172" s="8">
        <f t="shared" ref="AR172:AT172" si="386">AR171/AR333*100</f>
        <v>0.81988502162445509</v>
      </c>
      <c r="AS172" s="8">
        <f t="shared" si="386"/>
        <v>0.74731501310800963</v>
      </c>
      <c r="AT172" s="40">
        <f t="shared" si="386"/>
        <v>0.61857437805847315</v>
      </c>
      <c r="AU172" s="40">
        <f t="shared" ref="AU172:AV172" si="387">AU171/AU333*100</f>
        <v>0.78845542227212517</v>
      </c>
      <c r="AV172" s="40">
        <f t="shared" si="387"/>
        <v>0.81017219853686573</v>
      </c>
      <c r="AW172" s="40">
        <f>AW171/AW333*100</f>
        <v>0.99390659104221291</v>
      </c>
      <c r="AX172" s="40">
        <f>AX171/AX333*100</f>
        <v>0.61652165847879026</v>
      </c>
      <c r="AY172" s="40">
        <f>AY171/AY333*100</f>
        <v>0.6050811440995234</v>
      </c>
    </row>
    <row r="173" spans="1:51">
      <c r="A173" s="16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</row>
    <row r="174" spans="1:51" s="22" customFormat="1">
      <c r="A174" s="24" t="s">
        <v>6</v>
      </c>
      <c r="B174" s="22" t="s">
        <v>5</v>
      </c>
      <c r="C174" s="22" t="s">
        <v>8</v>
      </c>
      <c r="D174" s="23">
        <v>246952</v>
      </c>
      <c r="E174" s="23">
        <v>247070</v>
      </c>
      <c r="F174" s="23">
        <v>280710</v>
      </c>
      <c r="G174" s="23">
        <v>292382</v>
      </c>
      <c r="H174" s="23">
        <v>323030</v>
      </c>
      <c r="I174" s="23">
        <v>383418</v>
      </c>
      <c r="J174" s="23">
        <v>345521</v>
      </c>
      <c r="K174" s="23">
        <v>349659</v>
      </c>
      <c r="L174" s="23">
        <f>200324+145979</f>
        <v>346303</v>
      </c>
      <c r="M174" s="23">
        <f>202806+142159</f>
        <v>344965</v>
      </c>
      <c r="N174" s="23">
        <f>222618+127245</f>
        <v>349863</v>
      </c>
      <c r="O174" s="23">
        <f>219853+122900</f>
        <v>342753</v>
      </c>
      <c r="P174" s="23">
        <f>243175+129643</f>
        <v>372818</v>
      </c>
      <c r="Q174" s="23">
        <f>252918+129958</f>
        <v>382876</v>
      </c>
      <c r="R174" s="23">
        <f>330744+253893</f>
        <v>584637</v>
      </c>
      <c r="S174" s="23">
        <f>265695+167738</f>
        <v>433433</v>
      </c>
      <c r="T174" s="23">
        <f>307604+190465</f>
        <v>498069</v>
      </c>
      <c r="U174" s="23">
        <f>509562+606651</f>
        <v>1116213</v>
      </c>
      <c r="V174" s="23">
        <f>550903+402346</f>
        <v>953249</v>
      </c>
      <c r="W174" s="23">
        <f>619683+492333</f>
        <v>1112016</v>
      </c>
      <c r="X174" s="23">
        <f>537252+491925</f>
        <v>1029177</v>
      </c>
      <c r="Y174" s="23">
        <f>527579+355840</f>
        <v>883419</v>
      </c>
      <c r="Z174" s="23">
        <f>553916+414917</f>
        <v>968833</v>
      </c>
      <c r="AA174" s="23">
        <f>517242+305305</f>
        <v>822547</v>
      </c>
      <c r="AB174" s="23">
        <f>731269+398339</f>
        <v>1129608</v>
      </c>
      <c r="AC174" s="23">
        <f>532598+197492</f>
        <v>730090</v>
      </c>
      <c r="AD174" s="23">
        <f>484064+185769</f>
        <v>669833</v>
      </c>
      <c r="AE174" s="23">
        <v>656969</v>
      </c>
      <c r="AF174" s="23">
        <v>544993</v>
      </c>
      <c r="AG174" s="23">
        <v>524463</v>
      </c>
      <c r="AH174" s="23">
        <v>564905</v>
      </c>
      <c r="AI174" s="23">
        <v>589156</v>
      </c>
      <c r="AJ174" s="23">
        <v>567606</v>
      </c>
      <c r="AK174" s="23">
        <v>518712</v>
      </c>
      <c r="AL174" s="23">
        <v>505884</v>
      </c>
      <c r="AM174" s="23">
        <v>619888</v>
      </c>
      <c r="AN174" s="23">
        <v>645838</v>
      </c>
      <c r="AO174" s="23">
        <v>528227</v>
      </c>
      <c r="AP174" s="23">
        <v>453904</v>
      </c>
      <c r="AQ174" s="23">
        <v>437200</v>
      </c>
      <c r="AR174" s="23">
        <v>402652</v>
      </c>
      <c r="AS174" s="23">
        <v>372618</v>
      </c>
      <c r="AT174" s="23">
        <v>433764</v>
      </c>
      <c r="AU174" s="23">
        <v>390504</v>
      </c>
      <c r="AV174" s="39">
        <v>373014</v>
      </c>
      <c r="AW174" s="39">
        <v>317216</v>
      </c>
      <c r="AX174" s="39">
        <v>346755</v>
      </c>
      <c r="AY174" s="39">
        <v>298537</v>
      </c>
    </row>
    <row r="175" spans="1:51">
      <c r="A175" s="16"/>
      <c r="B175" s="3" t="s">
        <v>21</v>
      </c>
      <c r="C175" s="3" t="s">
        <v>9</v>
      </c>
      <c r="D175" s="4">
        <v>121900</v>
      </c>
      <c r="E175" s="4">
        <v>151794</v>
      </c>
      <c r="F175" s="4">
        <v>157486</v>
      </c>
      <c r="G175" s="4">
        <v>157629</v>
      </c>
      <c r="H175" s="4">
        <v>158810</v>
      </c>
      <c r="I175" s="4">
        <v>202613</v>
      </c>
      <c r="J175" s="4">
        <v>146702</v>
      </c>
      <c r="K175" s="4">
        <f>37407+120612</f>
        <v>158019</v>
      </c>
      <c r="L175" s="4">
        <f>37703+133150</f>
        <v>170853</v>
      </c>
      <c r="M175" s="4">
        <f>37719+127096</f>
        <v>164815</v>
      </c>
      <c r="N175" s="4">
        <f>38636+129960</f>
        <v>168596</v>
      </c>
      <c r="O175" s="4">
        <f>42452+137012</f>
        <v>179464</v>
      </c>
      <c r="P175" s="4">
        <f>50572+143472</f>
        <v>194044</v>
      </c>
      <c r="Q175" s="4">
        <f>51998+153299</f>
        <v>205297</v>
      </c>
      <c r="R175" s="4">
        <f>71388+192657</f>
        <v>264045</v>
      </c>
      <c r="S175" s="4">
        <f>62176+243703</f>
        <v>305879</v>
      </c>
      <c r="T175" s="4">
        <f>71868+341395</f>
        <v>413263</v>
      </c>
      <c r="U175" s="4">
        <f>103168+372304</f>
        <v>475472</v>
      </c>
      <c r="V175" s="4">
        <f>112605+421518</f>
        <v>534123</v>
      </c>
      <c r="W175" s="4">
        <f>98917+329492</f>
        <v>428409</v>
      </c>
      <c r="X175" s="4">
        <f>113552+408533</f>
        <v>522085</v>
      </c>
      <c r="Y175" s="4">
        <f>112381+336863</f>
        <v>449244</v>
      </c>
      <c r="Z175" s="4">
        <f>115566+371300</f>
        <v>486866</v>
      </c>
      <c r="AA175" s="4">
        <f>120367+434121</f>
        <v>554488</v>
      </c>
      <c r="AB175" s="4">
        <f>133275+546208</f>
        <v>679483</v>
      </c>
      <c r="AC175" s="4">
        <f>137874+571733</f>
        <v>709607</v>
      </c>
      <c r="AD175" s="4">
        <f>140306+533511</f>
        <v>673817</v>
      </c>
      <c r="AE175" s="4">
        <v>693844</v>
      </c>
      <c r="AF175" s="4">
        <v>680001</v>
      </c>
      <c r="AG175" s="4">
        <v>625485</v>
      </c>
      <c r="AH175" s="4">
        <v>536344</v>
      </c>
      <c r="AI175" s="4">
        <v>549917</v>
      </c>
      <c r="AJ175" s="4">
        <v>547573</v>
      </c>
      <c r="AK175" s="4">
        <v>489498</v>
      </c>
      <c r="AL175" s="4">
        <v>453500</v>
      </c>
      <c r="AM175" s="4">
        <v>395682</v>
      </c>
      <c r="AN175" s="4">
        <v>388872</v>
      </c>
      <c r="AO175" s="4">
        <v>373421</v>
      </c>
      <c r="AP175" s="4">
        <v>355607</v>
      </c>
      <c r="AQ175" s="4">
        <v>386962</v>
      </c>
      <c r="AR175" s="4">
        <v>337467</v>
      </c>
      <c r="AS175" s="4">
        <v>333923</v>
      </c>
      <c r="AT175" s="4">
        <v>305175</v>
      </c>
      <c r="AU175" s="4">
        <v>323480</v>
      </c>
      <c r="AV175" s="4">
        <v>312517</v>
      </c>
      <c r="AW175" s="4">
        <v>301656</v>
      </c>
      <c r="AX175" s="4">
        <v>300332</v>
      </c>
      <c r="AY175" s="4">
        <v>309694</v>
      </c>
    </row>
    <row r="176" spans="1:51">
      <c r="A176" s="16"/>
      <c r="C176" s="3" t="s">
        <v>11</v>
      </c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AG176" s="4">
        <v>41032</v>
      </c>
      <c r="AH176" s="4">
        <v>69743</v>
      </c>
      <c r="AI176" s="4">
        <v>193610</v>
      </c>
      <c r="AJ176" s="4">
        <v>236768</v>
      </c>
      <c r="AK176" s="4">
        <v>361595</v>
      </c>
      <c r="AL176" s="4">
        <v>423685</v>
      </c>
      <c r="AM176" s="4">
        <v>445941</v>
      </c>
      <c r="AN176" s="4">
        <v>468955</v>
      </c>
      <c r="AO176" s="4">
        <v>500619</v>
      </c>
      <c r="AP176" s="4">
        <v>581198</v>
      </c>
      <c r="AQ176" s="4">
        <v>657898</v>
      </c>
      <c r="AR176" s="4">
        <v>739039</v>
      </c>
      <c r="AS176" s="4">
        <v>778507</v>
      </c>
      <c r="AT176" s="4">
        <v>731372</v>
      </c>
      <c r="AU176" s="4">
        <v>643909</v>
      </c>
      <c r="AV176" s="4">
        <v>665634</v>
      </c>
      <c r="AW176" s="4">
        <v>664518</v>
      </c>
      <c r="AX176" s="4">
        <v>721824</v>
      </c>
      <c r="AY176" s="4">
        <v>796260</v>
      </c>
    </row>
    <row r="177" spans="1:51">
      <c r="A177" s="16"/>
      <c r="C177" s="3" t="s">
        <v>26</v>
      </c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AM177" s="4">
        <v>13305</v>
      </c>
      <c r="AN177" s="4">
        <v>7900</v>
      </c>
      <c r="AO177" s="4">
        <v>7232</v>
      </c>
      <c r="AP177" s="4">
        <v>20314</v>
      </c>
      <c r="AQ177" s="4">
        <v>13658</v>
      </c>
      <c r="AR177" s="4">
        <v>19368</v>
      </c>
      <c r="AS177" s="4">
        <v>21480</v>
      </c>
      <c r="AT177" s="4">
        <v>39231</v>
      </c>
      <c r="AU177" s="4">
        <v>29521</v>
      </c>
      <c r="AV177" s="4">
        <v>29452</v>
      </c>
      <c r="AW177" s="4">
        <v>54353</v>
      </c>
      <c r="AX177" s="4">
        <v>49552</v>
      </c>
      <c r="AY177" s="4">
        <v>44313</v>
      </c>
    </row>
    <row r="178" spans="1:51">
      <c r="A178" s="16"/>
      <c r="C178" s="3" t="s">
        <v>24</v>
      </c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AM178" s="4">
        <v>100543</v>
      </c>
      <c r="AN178" s="4">
        <v>123075</v>
      </c>
      <c r="AO178" s="4">
        <v>125273</v>
      </c>
      <c r="AP178" s="4">
        <v>136329</v>
      </c>
      <c r="AQ178" s="4">
        <v>151753</v>
      </c>
      <c r="AR178" s="4">
        <v>141745</v>
      </c>
      <c r="AS178" s="4">
        <v>119117</v>
      </c>
      <c r="AT178" s="4">
        <v>114482</v>
      </c>
      <c r="AU178" s="4">
        <v>126355</v>
      </c>
      <c r="AV178" s="4">
        <v>138179</v>
      </c>
      <c r="AW178" s="4">
        <v>159161</v>
      </c>
      <c r="AX178" s="4">
        <v>191907</v>
      </c>
      <c r="AY178" s="4">
        <v>193391</v>
      </c>
    </row>
    <row r="179" spans="1:51">
      <c r="A179" s="16"/>
      <c r="C179" s="3" t="s">
        <v>10</v>
      </c>
      <c r="D179" s="4">
        <v>6687</v>
      </c>
      <c r="E179" s="4">
        <v>4633</v>
      </c>
      <c r="F179" s="4">
        <v>6849</v>
      </c>
      <c r="G179" s="4">
        <v>6899</v>
      </c>
      <c r="H179" s="4">
        <v>7767</v>
      </c>
      <c r="I179" s="4">
        <v>7198</v>
      </c>
      <c r="J179" s="4">
        <v>46648</v>
      </c>
      <c r="K179" s="4">
        <v>9941</v>
      </c>
      <c r="L179" s="4">
        <v>10702</v>
      </c>
      <c r="M179" s="4">
        <v>14895</v>
      </c>
      <c r="N179" s="4">
        <v>13407</v>
      </c>
      <c r="O179" s="4">
        <v>16215</v>
      </c>
      <c r="P179" s="4">
        <v>15362</v>
      </c>
      <c r="Q179" s="4">
        <v>21703</v>
      </c>
      <c r="R179" s="4">
        <v>22484</v>
      </c>
      <c r="S179" s="4">
        <v>22710</v>
      </c>
      <c r="T179" s="4">
        <v>21561</v>
      </c>
      <c r="U179" s="4">
        <v>27170</v>
      </c>
      <c r="V179" s="4">
        <v>78221</v>
      </c>
      <c r="W179" s="4">
        <v>61702</v>
      </c>
      <c r="X179" s="4">
        <v>80193</v>
      </c>
      <c r="Y179" s="4">
        <v>179297</v>
      </c>
      <c r="Z179" s="4">
        <v>76983</v>
      </c>
      <c r="AA179" s="4">
        <v>81101</v>
      </c>
      <c r="AB179" s="4">
        <v>107878</v>
      </c>
      <c r="AC179" s="4">
        <v>115682</v>
      </c>
      <c r="AD179" s="4">
        <v>95183</v>
      </c>
      <c r="AE179" s="4">
        <v>107381</v>
      </c>
      <c r="AF179" s="4">
        <v>79618</v>
      </c>
      <c r="AG179" s="4">
        <v>75102</v>
      </c>
      <c r="AH179" s="4">
        <v>81423</v>
      </c>
      <c r="AI179" s="4">
        <v>120729</v>
      </c>
      <c r="AJ179" s="4">
        <v>90535</v>
      </c>
      <c r="AK179" s="4">
        <v>102936</v>
      </c>
      <c r="AL179" s="4">
        <v>128761</v>
      </c>
      <c r="AM179" s="4">
        <v>70686</v>
      </c>
      <c r="AN179" s="4">
        <v>86743</v>
      </c>
      <c r="AO179" s="4">
        <v>64474</v>
      </c>
      <c r="AP179" s="4">
        <v>62157</v>
      </c>
      <c r="AQ179" s="4">
        <v>72540</v>
      </c>
      <c r="AR179" s="4">
        <v>55083</v>
      </c>
      <c r="AS179" s="4">
        <v>78660</v>
      </c>
      <c r="AT179" s="4">
        <v>75496</v>
      </c>
      <c r="AU179" s="4">
        <v>52629</v>
      </c>
      <c r="AV179" s="4">
        <v>56809</v>
      </c>
      <c r="AW179" s="4">
        <v>57167</v>
      </c>
      <c r="AX179" s="4">
        <v>53625</v>
      </c>
      <c r="AY179" s="4">
        <v>50724</v>
      </c>
    </row>
    <row r="180" spans="1:51">
      <c r="A180" s="16"/>
      <c r="C180" s="3" t="s">
        <v>17</v>
      </c>
      <c r="D180" s="4">
        <v>375539</v>
      </c>
      <c r="E180" s="4">
        <v>403497</v>
      </c>
      <c r="F180" s="4">
        <v>445045</v>
      </c>
      <c r="G180" s="4">
        <v>456910</v>
      </c>
      <c r="H180" s="4">
        <v>489607</v>
      </c>
      <c r="I180" s="4">
        <v>593229</v>
      </c>
      <c r="J180" s="4">
        <v>538871</v>
      </c>
      <c r="K180" s="4">
        <v>517619</v>
      </c>
      <c r="L180" s="4">
        <v>527858</v>
      </c>
      <c r="M180" s="4">
        <v>524675</v>
      </c>
      <c r="N180" s="4">
        <v>531866</v>
      </c>
      <c r="O180" s="4">
        <v>538432</v>
      </c>
      <c r="P180" s="4">
        <v>582224</v>
      </c>
      <c r="Q180" s="4">
        <v>609876</v>
      </c>
      <c r="R180" s="4">
        <v>871166</v>
      </c>
      <c r="S180" s="4">
        <v>762022</v>
      </c>
      <c r="T180" s="4">
        <v>932893</v>
      </c>
      <c r="U180" s="4">
        <v>1618855</v>
      </c>
      <c r="V180" s="4">
        <v>1565593</v>
      </c>
      <c r="W180" s="4">
        <v>1602127</v>
      </c>
      <c r="X180" s="4">
        <v>1631455</v>
      </c>
      <c r="Y180" s="4">
        <v>1511960</v>
      </c>
      <c r="Z180" s="4">
        <v>1532682</v>
      </c>
      <c r="AA180" s="4">
        <v>1458136</v>
      </c>
      <c r="AB180" s="4">
        <v>1916969</v>
      </c>
      <c r="AC180" s="4">
        <v>1555379</v>
      </c>
      <c r="AD180" s="4">
        <v>1438833</v>
      </c>
      <c r="AE180" s="4">
        <v>1458194</v>
      </c>
      <c r="AF180" s="4">
        <v>1304612</v>
      </c>
      <c r="AG180" s="4">
        <v>1266082</v>
      </c>
      <c r="AH180" s="4">
        <v>1252415</v>
      </c>
      <c r="AI180" s="4">
        <v>1453412</v>
      </c>
      <c r="AJ180" s="4">
        <v>1442482</v>
      </c>
      <c r="AK180" s="4">
        <v>1472741</v>
      </c>
      <c r="AL180" s="4">
        <v>1511830</v>
      </c>
      <c r="AM180" s="4">
        <v>1646045</v>
      </c>
      <c r="AN180" s="4">
        <v>1721383</v>
      </c>
      <c r="AO180" s="4">
        <v>1599246</v>
      </c>
      <c r="AP180" s="4">
        <v>1609509</v>
      </c>
      <c r="AQ180" s="4">
        <v>1720011</v>
      </c>
      <c r="AR180" s="4">
        <v>1695354</v>
      </c>
      <c r="AS180" s="4">
        <v>1704305</v>
      </c>
      <c r="AT180" s="9">
        <f t="shared" ref="AT180:AY180" si="388">SUM(AT174:AT179)</f>
        <v>1699520</v>
      </c>
      <c r="AU180" s="9">
        <f t="shared" si="388"/>
        <v>1566398</v>
      </c>
      <c r="AV180" s="9">
        <f t="shared" si="388"/>
        <v>1575605</v>
      </c>
      <c r="AW180" s="9">
        <f t="shared" si="388"/>
        <v>1554071</v>
      </c>
      <c r="AX180" s="9">
        <f t="shared" si="388"/>
        <v>1663995</v>
      </c>
      <c r="AY180" s="9">
        <f t="shared" si="388"/>
        <v>1692919</v>
      </c>
    </row>
    <row r="181" spans="1:51">
      <c r="A181" s="16"/>
      <c r="C181" s="10" t="s">
        <v>12</v>
      </c>
      <c r="D181" s="8">
        <f t="shared" ref="D181:AQ181" si="389">D180/D316*100</f>
        <v>1.9385659715052652</v>
      </c>
      <c r="E181" s="8">
        <f t="shared" ref="E181" si="390">E180/E316*100</f>
        <v>1.9786054038150345</v>
      </c>
      <c r="F181" s="8">
        <f t="shared" si="389"/>
        <v>2.0056106354213612</v>
      </c>
      <c r="G181" s="8">
        <f t="shared" si="389"/>
        <v>2.0064552959775162</v>
      </c>
      <c r="H181" s="8">
        <f t="shared" si="389"/>
        <v>1.8850365886684892</v>
      </c>
      <c r="I181" s="8">
        <f t="shared" si="389"/>
        <v>1.5769990775857046</v>
      </c>
      <c r="J181" s="8">
        <f t="shared" si="389"/>
        <v>2.560204386475692</v>
      </c>
      <c r="K181" s="8">
        <f t="shared" si="389"/>
        <v>2.3021070088224032</v>
      </c>
      <c r="L181" s="8">
        <f t="shared" si="389"/>
        <v>2.2390766550071861</v>
      </c>
      <c r="M181" s="8">
        <f t="shared" si="389"/>
        <v>1.6923078957585429</v>
      </c>
      <c r="N181" s="8">
        <f t="shared" si="389"/>
        <v>1.6891489111549962</v>
      </c>
      <c r="O181" s="8">
        <f t="shared" si="389"/>
        <v>1.3581459725419587</v>
      </c>
      <c r="P181" s="8">
        <f t="shared" si="389"/>
        <v>1.8127199373476086</v>
      </c>
      <c r="Q181" s="8">
        <f t="shared" si="389"/>
        <v>1.8148643507364119</v>
      </c>
      <c r="R181" s="8">
        <f t="shared" si="389"/>
        <v>1.6157368225510469</v>
      </c>
      <c r="S181" s="8">
        <f t="shared" si="389"/>
        <v>1.7404377412575049</v>
      </c>
      <c r="T181" s="8">
        <f t="shared" si="389"/>
        <v>2.0623173808014608</v>
      </c>
      <c r="U181" s="8">
        <f t="shared" si="389"/>
        <v>2.6390906603785362</v>
      </c>
      <c r="V181" s="8">
        <f t="shared" si="389"/>
        <v>2.3793907847831566</v>
      </c>
      <c r="W181" s="8">
        <f t="shared" si="389"/>
        <v>2.584367381448923</v>
      </c>
      <c r="X181" s="8">
        <f t="shared" si="389"/>
        <v>2.3199778368103483</v>
      </c>
      <c r="Y181" s="8">
        <f t="shared" si="389"/>
        <v>2.7878815034196243</v>
      </c>
      <c r="Z181" s="8">
        <f t="shared" si="389"/>
        <v>2.1572639542041561</v>
      </c>
      <c r="AA181" s="8">
        <f t="shared" si="389"/>
        <v>1.2392959843908824</v>
      </c>
      <c r="AB181" s="8">
        <f t="shared" si="389"/>
        <v>2.1014714473543674</v>
      </c>
      <c r="AC181" s="8">
        <f t="shared" si="389"/>
        <v>1.6018264899623114</v>
      </c>
      <c r="AD181" s="8">
        <f t="shared" si="389"/>
        <v>1.3307528960460731</v>
      </c>
      <c r="AE181" s="8">
        <f t="shared" si="389"/>
        <v>1.2930047551948511</v>
      </c>
      <c r="AF181" s="8">
        <f t="shared" si="389"/>
        <v>1.1830036063777145</v>
      </c>
      <c r="AG181" s="8">
        <f t="shared" si="389"/>
        <v>1.0209159057814674</v>
      </c>
      <c r="AH181" s="8">
        <f t="shared" si="389"/>
        <v>0.99213986526610487</v>
      </c>
      <c r="AI181" s="8">
        <f t="shared" si="389"/>
        <v>1.0826641440566982</v>
      </c>
      <c r="AJ181" s="8">
        <f t="shared" si="389"/>
        <v>1.0247701655155543</v>
      </c>
      <c r="AK181" s="8">
        <f t="shared" si="389"/>
        <v>0.86658414408995488</v>
      </c>
      <c r="AL181" s="8">
        <f t="shared" si="389"/>
        <v>0.88135151704560233</v>
      </c>
      <c r="AM181" s="8">
        <f t="shared" si="389"/>
        <v>0.93067541435423085</v>
      </c>
      <c r="AN181" s="8">
        <f t="shared" si="389"/>
        <v>0.91219734087344784</v>
      </c>
      <c r="AO181" s="8">
        <f t="shared" si="389"/>
        <v>0.84644165596846599</v>
      </c>
      <c r="AP181" s="8">
        <f t="shared" si="389"/>
        <v>1.0291403208963705</v>
      </c>
      <c r="AQ181" s="8">
        <f t="shared" si="389"/>
        <v>1.0659194585996679</v>
      </c>
      <c r="AR181" s="8">
        <f t="shared" ref="AR181:AW181" si="391">AR180/AR316*100</f>
        <v>0.97242117163675279</v>
      </c>
      <c r="AS181" s="8">
        <f t="shared" si="391"/>
        <v>0.95609540108802482</v>
      </c>
      <c r="AT181" s="40">
        <f t="shared" si="391"/>
        <v>1.0775850248804448</v>
      </c>
      <c r="AU181" s="40">
        <f t="shared" ref="AU181:AV181" si="392">AU180/AU316*100</f>
        <v>1.0125612115010423</v>
      </c>
      <c r="AV181" s="40">
        <f t="shared" si="392"/>
        <v>1.0170060414395081</v>
      </c>
      <c r="AW181" s="40">
        <f t="shared" si="391"/>
        <v>1.344851299818147</v>
      </c>
      <c r="AX181" s="40">
        <f t="shared" ref="AX181:AY181" si="393">AX180/AX316*100</f>
        <v>1.3815496839554458</v>
      </c>
      <c r="AY181" s="40">
        <f t="shared" si="393"/>
        <v>0.9919856905340918</v>
      </c>
    </row>
    <row r="182" spans="1:51">
      <c r="A182" s="16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AQ182" s="4"/>
      <c r="AR182" s="4"/>
      <c r="AS182" s="4"/>
      <c r="AT182" s="4"/>
      <c r="AU182" s="4"/>
      <c r="AV182" s="4"/>
      <c r="AW182" s="4"/>
      <c r="AX182" s="4"/>
      <c r="AY182" s="4"/>
    </row>
    <row r="183" spans="1:51" s="2" customFormat="1">
      <c r="A183" s="17"/>
      <c r="C183" s="3"/>
      <c r="D183" s="1">
        <f t="shared" ref="D183:AQ183" si="394">D2</f>
        <v>1975</v>
      </c>
      <c r="E183" s="1">
        <f t="shared" ref="E183" si="395">E2</f>
        <v>76</v>
      </c>
      <c r="F183" s="1">
        <f t="shared" si="394"/>
        <v>77</v>
      </c>
      <c r="G183" s="1">
        <f t="shared" si="394"/>
        <v>78</v>
      </c>
      <c r="H183" s="1">
        <f t="shared" si="394"/>
        <v>79</v>
      </c>
      <c r="I183" s="1">
        <f t="shared" si="394"/>
        <v>80</v>
      </c>
      <c r="J183" s="1">
        <f t="shared" si="394"/>
        <v>81</v>
      </c>
      <c r="K183" s="1">
        <f t="shared" si="394"/>
        <v>82</v>
      </c>
      <c r="L183" s="1">
        <f t="shared" si="394"/>
        <v>83</v>
      </c>
      <c r="M183" s="1">
        <f t="shared" si="394"/>
        <v>84</v>
      </c>
      <c r="N183" s="1">
        <f t="shared" si="394"/>
        <v>85</v>
      </c>
      <c r="O183" s="1">
        <f t="shared" si="394"/>
        <v>86</v>
      </c>
      <c r="P183" s="1">
        <f t="shared" si="394"/>
        <v>87</v>
      </c>
      <c r="Q183" s="1">
        <f t="shared" si="394"/>
        <v>88</v>
      </c>
      <c r="R183" s="1">
        <f t="shared" si="394"/>
        <v>89</v>
      </c>
      <c r="S183" s="1" t="str">
        <f t="shared" si="394"/>
        <v>90</v>
      </c>
      <c r="T183" s="1" t="str">
        <f t="shared" si="394"/>
        <v>91</v>
      </c>
      <c r="U183" s="1" t="str">
        <f t="shared" si="394"/>
        <v>92</v>
      </c>
      <c r="V183" s="1" t="str">
        <f t="shared" si="394"/>
        <v>93</v>
      </c>
      <c r="W183" s="1" t="str">
        <f t="shared" si="394"/>
        <v>94</v>
      </c>
      <c r="X183" s="1" t="str">
        <f t="shared" si="394"/>
        <v>95</v>
      </c>
      <c r="Y183" s="1" t="str">
        <f t="shared" si="394"/>
        <v>96</v>
      </c>
      <c r="Z183" s="1" t="str">
        <f t="shared" si="394"/>
        <v>97</v>
      </c>
      <c r="AA183" s="1" t="str">
        <f t="shared" si="394"/>
        <v>98</v>
      </c>
      <c r="AB183" s="1" t="str">
        <f t="shared" si="394"/>
        <v>99</v>
      </c>
      <c r="AC183" s="1" t="str">
        <f t="shared" si="394"/>
        <v>2000</v>
      </c>
      <c r="AD183" s="1" t="str">
        <f t="shared" si="394"/>
        <v>01</v>
      </c>
      <c r="AE183" s="1" t="str">
        <f t="shared" si="394"/>
        <v>02</v>
      </c>
      <c r="AF183" s="1" t="str">
        <f t="shared" si="394"/>
        <v>03</v>
      </c>
      <c r="AG183" s="1" t="str">
        <f t="shared" si="394"/>
        <v>04</v>
      </c>
      <c r="AH183" s="1" t="str">
        <f t="shared" si="394"/>
        <v>05</v>
      </c>
      <c r="AI183" s="1" t="str">
        <f t="shared" si="394"/>
        <v>06</v>
      </c>
      <c r="AJ183" s="1" t="str">
        <f t="shared" si="394"/>
        <v>07</v>
      </c>
      <c r="AK183" s="1" t="str">
        <f t="shared" si="394"/>
        <v>08</v>
      </c>
      <c r="AL183" s="1" t="str">
        <f t="shared" si="394"/>
        <v>09</v>
      </c>
      <c r="AM183" s="1" t="str">
        <f t="shared" si="394"/>
        <v>10</v>
      </c>
      <c r="AN183" s="1" t="str">
        <f t="shared" si="394"/>
        <v>11</v>
      </c>
      <c r="AO183" s="1" t="str">
        <f t="shared" si="394"/>
        <v>12</v>
      </c>
      <c r="AP183" s="1" t="str">
        <f t="shared" si="394"/>
        <v>13</v>
      </c>
      <c r="AQ183" s="1" t="str">
        <f t="shared" si="394"/>
        <v>14</v>
      </c>
      <c r="AR183" s="1" t="str">
        <f t="shared" ref="AR183:AS183" si="396">AR2</f>
        <v>15</v>
      </c>
      <c r="AS183" s="1" t="str">
        <f t="shared" si="396"/>
        <v>16</v>
      </c>
      <c r="AT183" s="1" t="str">
        <f t="shared" ref="AT183" si="397">AT2</f>
        <v>17</v>
      </c>
      <c r="AU183" s="1">
        <v>18</v>
      </c>
      <c r="AV183" s="1">
        <v>19</v>
      </c>
      <c r="AW183" s="1">
        <v>20</v>
      </c>
      <c r="AX183" s="1">
        <v>21</v>
      </c>
      <c r="AY183" s="1">
        <v>22</v>
      </c>
    </row>
    <row r="184" spans="1:51">
      <c r="A184" s="16" t="s">
        <v>6</v>
      </c>
      <c r="B184" s="3" t="s">
        <v>30</v>
      </c>
      <c r="C184" s="3" t="s">
        <v>8</v>
      </c>
      <c r="D184" s="4">
        <f t="shared" ref="D184:AQ184" si="398">D174/D351</f>
        <v>18996.307692307691</v>
      </c>
      <c r="E184" s="4">
        <f t="shared" ref="E184" si="399">E174/E351</f>
        <v>19005.384615384617</v>
      </c>
      <c r="F184" s="4">
        <f t="shared" si="398"/>
        <v>21593.076923076922</v>
      </c>
      <c r="G184" s="4">
        <f t="shared" si="398"/>
        <v>22490.923076923078</v>
      </c>
      <c r="H184" s="4">
        <f t="shared" si="398"/>
        <v>23073.571428571428</v>
      </c>
      <c r="I184" s="4">
        <f t="shared" si="398"/>
        <v>27387</v>
      </c>
      <c r="J184" s="4">
        <f t="shared" si="398"/>
        <v>26578.538461538461</v>
      </c>
      <c r="K184" s="4">
        <f t="shared" si="398"/>
        <v>26896.846153846152</v>
      </c>
      <c r="L184" s="4">
        <f t="shared" si="398"/>
        <v>26638.692307692309</v>
      </c>
      <c r="M184" s="4">
        <f t="shared" si="398"/>
        <v>26535.76923076923</v>
      </c>
      <c r="N184" s="4">
        <f t="shared" si="398"/>
        <v>26912.538461538461</v>
      </c>
      <c r="O184" s="4">
        <f t="shared" si="398"/>
        <v>26365.615384615383</v>
      </c>
      <c r="P184" s="4">
        <f t="shared" si="398"/>
        <v>28678.307692307691</v>
      </c>
      <c r="Q184" s="4">
        <f t="shared" si="398"/>
        <v>27348.285714285714</v>
      </c>
      <c r="R184" s="4">
        <f t="shared" si="398"/>
        <v>38975.800000000003</v>
      </c>
      <c r="S184" s="4">
        <f t="shared" si="398"/>
        <v>28895.533333333333</v>
      </c>
      <c r="T184" s="4">
        <f t="shared" si="398"/>
        <v>31129.3125</v>
      </c>
      <c r="U184" s="4">
        <f t="shared" si="398"/>
        <v>58748.052631578947</v>
      </c>
      <c r="V184" s="4">
        <f t="shared" si="398"/>
        <v>47662.45</v>
      </c>
      <c r="W184" s="4">
        <f t="shared" si="398"/>
        <v>55600.800000000003</v>
      </c>
      <c r="X184" s="4">
        <f t="shared" si="398"/>
        <v>51458.85</v>
      </c>
      <c r="Y184" s="4">
        <f t="shared" si="398"/>
        <v>44170.95</v>
      </c>
      <c r="Z184" s="4">
        <f t="shared" si="398"/>
        <v>46134.904761904763</v>
      </c>
      <c r="AA184" s="4">
        <f t="shared" si="398"/>
        <v>34272.791666666664</v>
      </c>
      <c r="AB184" s="4">
        <f t="shared" si="398"/>
        <v>47067</v>
      </c>
      <c r="AC184" s="4">
        <f t="shared" si="398"/>
        <v>28080.384615384617</v>
      </c>
      <c r="AD184" s="4">
        <f t="shared" si="398"/>
        <v>25762.807692307691</v>
      </c>
      <c r="AE184" s="4">
        <f t="shared" si="398"/>
        <v>23463.178571428572</v>
      </c>
      <c r="AF184" s="4">
        <f t="shared" si="398"/>
        <v>19464.035714285714</v>
      </c>
      <c r="AG184" s="4">
        <f t="shared" si="398"/>
        <v>18084.931034482757</v>
      </c>
      <c r="AH184" s="4">
        <f t="shared" si="398"/>
        <v>18830.166666666668</v>
      </c>
      <c r="AI184" s="4">
        <f t="shared" si="398"/>
        <v>19638.533333333333</v>
      </c>
      <c r="AJ184" s="4">
        <f t="shared" si="398"/>
        <v>18920.2</v>
      </c>
      <c r="AK184" s="4">
        <f t="shared" si="398"/>
        <v>16732.645161290322</v>
      </c>
      <c r="AL184" s="4">
        <f t="shared" si="398"/>
        <v>15329.818181818182</v>
      </c>
      <c r="AM184" s="4">
        <f t="shared" si="398"/>
        <v>18232</v>
      </c>
      <c r="AN184" s="4">
        <f t="shared" si="398"/>
        <v>17939.944444444445</v>
      </c>
      <c r="AO184" s="4">
        <f t="shared" si="398"/>
        <v>14672.972222222223</v>
      </c>
      <c r="AP184" s="4">
        <f t="shared" si="398"/>
        <v>12968.685714285713</v>
      </c>
      <c r="AQ184" s="4">
        <f t="shared" si="398"/>
        <v>12491.428571428571</v>
      </c>
      <c r="AR184" s="4">
        <f t="shared" ref="AR184" si="400">AR174/AR351</f>
        <v>11842.705882352941</v>
      </c>
      <c r="AS184" s="4">
        <v>10646</v>
      </c>
      <c r="AT184" s="9">
        <f t="shared" ref="AT184:AY184" si="401">ROUND(AT174/AT$351,0)</f>
        <v>11122</v>
      </c>
      <c r="AU184" s="9">
        <f t="shared" si="401"/>
        <v>10013</v>
      </c>
      <c r="AV184" s="9">
        <f t="shared" si="401"/>
        <v>9564</v>
      </c>
      <c r="AW184" s="9">
        <f t="shared" si="401"/>
        <v>8348</v>
      </c>
      <c r="AX184" s="9">
        <f t="shared" si="401"/>
        <v>8891</v>
      </c>
      <c r="AY184" s="9">
        <f t="shared" si="401"/>
        <v>7463</v>
      </c>
    </row>
    <row r="185" spans="1:51">
      <c r="A185" s="16"/>
      <c r="B185" s="3" t="s">
        <v>21</v>
      </c>
      <c r="C185" s="3" t="s">
        <v>9</v>
      </c>
      <c r="D185" s="4">
        <f t="shared" ref="D185:AQ185" si="402">D175/D351</f>
        <v>9376.9230769230762</v>
      </c>
      <c r="E185" s="4">
        <f t="shared" ref="E185" si="403">E175/E351</f>
        <v>11676.461538461539</v>
      </c>
      <c r="F185" s="4">
        <f t="shared" si="402"/>
        <v>12114.307692307691</v>
      </c>
      <c r="G185" s="4">
        <f t="shared" si="402"/>
        <v>12125.307692307691</v>
      </c>
      <c r="H185" s="4">
        <f t="shared" si="402"/>
        <v>11343.571428571429</v>
      </c>
      <c r="I185" s="4">
        <f t="shared" si="402"/>
        <v>14472.357142857143</v>
      </c>
      <c r="J185" s="4">
        <f t="shared" si="402"/>
        <v>11284.76923076923</v>
      </c>
      <c r="K185" s="4">
        <f t="shared" si="402"/>
        <v>12155.307692307691</v>
      </c>
      <c r="L185" s="4">
        <f t="shared" si="402"/>
        <v>13142.538461538461</v>
      </c>
      <c r="M185" s="4">
        <f t="shared" si="402"/>
        <v>12678.076923076924</v>
      </c>
      <c r="N185" s="4">
        <f t="shared" si="402"/>
        <v>12968.923076923076</v>
      </c>
      <c r="O185" s="4">
        <f t="shared" si="402"/>
        <v>13804.923076923076</v>
      </c>
      <c r="P185" s="4">
        <f t="shared" si="402"/>
        <v>14926.461538461539</v>
      </c>
      <c r="Q185" s="4">
        <f t="shared" si="402"/>
        <v>14664.071428571429</v>
      </c>
      <c r="R185" s="4">
        <f t="shared" si="402"/>
        <v>17603</v>
      </c>
      <c r="S185" s="4">
        <f t="shared" si="402"/>
        <v>20391.933333333334</v>
      </c>
      <c r="T185" s="4">
        <f t="shared" si="402"/>
        <v>25828.9375</v>
      </c>
      <c r="U185" s="4">
        <f t="shared" si="402"/>
        <v>25024.842105263157</v>
      </c>
      <c r="V185" s="4">
        <f t="shared" si="402"/>
        <v>26706.15</v>
      </c>
      <c r="W185" s="4">
        <f t="shared" si="402"/>
        <v>21420.45</v>
      </c>
      <c r="X185" s="4">
        <f t="shared" si="402"/>
        <v>26104.25</v>
      </c>
      <c r="Y185" s="4">
        <f t="shared" si="402"/>
        <v>22462.2</v>
      </c>
      <c r="Z185" s="4">
        <f t="shared" si="402"/>
        <v>23184.095238095237</v>
      </c>
      <c r="AA185" s="4">
        <f t="shared" si="402"/>
        <v>23103.666666666668</v>
      </c>
      <c r="AB185" s="4">
        <f t="shared" si="402"/>
        <v>28311.791666666668</v>
      </c>
      <c r="AC185" s="4">
        <f t="shared" si="402"/>
        <v>27292.576923076922</v>
      </c>
      <c r="AD185" s="4">
        <f t="shared" si="402"/>
        <v>25916.038461538461</v>
      </c>
      <c r="AE185" s="4">
        <f t="shared" si="402"/>
        <v>24780.142857142859</v>
      </c>
      <c r="AF185" s="4">
        <f t="shared" si="402"/>
        <v>24285.75</v>
      </c>
      <c r="AG185" s="4">
        <f t="shared" si="402"/>
        <v>21568.448275862069</v>
      </c>
      <c r="AH185" s="4">
        <f t="shared" si="402"/>
        <v>17878.133333333335</v>
      </c>
      <c r="AI185" s="4">
        <f t="shared" si="402"/>
        <v>18330.566666666666</v>
      </c>
      <c r="AJ185" s="4">
        <f t="shared" si="402"/>
        <v>18252.433333333334</v>
      </c>
      <c r="AK185" s="4">
        <f t="shared" si="402"/>
        <v>15790.258064516129</v>
      </c>
      <c r="AL185" s="4">
        <f t="shared" si="402"/>
        <v>13742.424242424242</v>
      </c>
      <c r="AM185" s="4">
        <f t="shared" si="402"/>
        <v>11637.705882352941</v>
      </c>
      <c r="AN185" s="4">
        <f t="shared" si="402"/>
        <v>10802</v>
      </c>
      <c r="AO185" s="4">
        <f t="shared" si="402"/>
        <v>10372.805555555555</v>
      </c>
      <c r="AP185" s="4">
        <f t="shared" si="402"/>
        <v>10160.200000000001</v>
      </c>
      <c r="AQ185" s="4">
        <f t="shared" si="402"/>
        <v>11056.057142857142</v>
      </c>
      <c r="AR185" s="4">
        <f t="shared" ref="AR185" si="404">AR175/AR351</f>
        <v>9925.5</v>
      </c>
      <c r="AS185" s="4">
        <v>9541</v>
      </c>
      <c r="AT185" s="9">
        <f t="shared" ref="AT185" si="405">ROUND(AT175/AT$351,0)</f>
        <v>7825</v>
      </c>
      <c r="AU185" s="9">
        <f t="shared" ref="AU185:AV185" si="406">ROUND(AU175/AU$351,0)</f>
        <v>8294</v>
      </c>
      <c r="AV185" s="9">
        <f t="shared" si="406"/>
        <v>8013</v>
      </c>
      <c r="AW185" s="9">
        <f t="shared" ref="AW185:AX189" si="407">ROUND(AW175/AW$351,0)</f>
        <v>7938</v>
      </c>
      <c r="AX185" s="9">
        <f t="shared" si="407"/>
        <v>7701</v>
      </c>
      <c r="AY185" s="9">
        <f t="shared" ref="AY185" si="408">ROUND(AY175/AY$351,0)</f>
        <v>7742</v>
      </c>
    </row>
    <row r="186" spans="1:51">
      <c r="A186" s="16"/>
      <c r="C186" s="3" t="s">
        <v>11</v>
      </c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AG186" s="4">
        <f t="shared" ref="AG186:AQ186" si="409">AG176/AG351</f>
        <v>1414.8965517241379</v>
      </c>
      <c r="AH186" s="4">
        <f t="shared" si="409"/>
        <v>2324.7666666666669</v>
      </c>
      <c r="AI186" s="4">
        <f t="shared" si="409"/>
        <v>6453.666666666667</v>
      </c>
      <c r="AJ186" s="4">
        <f t="shared" si="409"/>
        <v>7892.2666666666664</v>
      </c>
      <c r="AK186" s="4">
        <f t="shared" si="409"/>
        <v>11664.354838709678</v>
      </c>
      <c r="AL186" s="4">
        <f t="shared" si="409"/>
        <v>12838.939393939394</v>
      </c>
      <c r="AM186" s="4">
        <f t="shared" si="409"/>
        <v>13115.911764705883</v>
      </c>
      <c r="AN186" s="4">
        <f t="shared" si="409"/>
        <v>13026.527777777777</v>
      </c>
      <c r="AO186" s="4">
        <f t="shared" si="409"/>
        <v>13906.083333333334</v>
      </c>
      <c r="AP186" s="4">
        <f t="shared" si="409"/>
        <v>16605.657142857144</v>
      </c>
      <c r="AQ186" s="4">
        <f t="shared" si="409"/>
        <v>18797.085714285713</v>
      </c>
      <c r="AR186" s="4">
        <f t="shared" ref="AR186" si="410">AR176/AR351</f>
        <v>21736.441176470587</v>
      </c>
      <c r="AS186" s="4">
        <v>22243</v>
      </c>
      <c r="AT186" s="9">
        <f t="shared" ref="AT186" si="411">ROUND(AT176/AT$351,0)</f>
        <v>18753</v>
      </c>
      <c r="AU186" s="9">
        <f t="shared" ref="AU186:AV186" si="412">ROUND(AU176/AU$351,0)</f>
        <v>16510</v>
      </c>
      <c r="AV186" s="9">
        <f t="shared" si="412"/>
        <v>17068</v>
      </c>
      <c r="AW186" s="9">
        <f t="shared" si="407"/>
        <v>17487</v>
      </c>
      <c r="AX186" s="9">
        <f t="shared" si="407"/>
        <v>18508</v>
      </c>
      <c r="AY186" s="9">
        <f t="shared" ref="AY186" si="413">ROUND(AY176/AY$351,0)</f>
        <v>19907</v>
      </c>
    </row>
    <row r="187" spans="1:51">
      <c r="A187" s="16"/>
      <c r="C187" s="3" t="s">
        <v>26</v>
      </c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AM187" s="4">
        <f t="shared" ref="AM187:AQ187" si="414">AM177/AM351</f>
        <v>391.3235294117647</v>
      </c>
      <c r="AN187" s="4">
        <f t="shared" si="414"/>
        <v>219.44444444444446</v>
      </c>
      <c r="AO187" s="4">
        <f t="shared" si="414"/>
        <v>200.88888888888889</v>
      </c>
      <c r="AP187" s="4">
        <f t="shared" si="414"/>
        <v>580.4</v>
      </c>
      <c r="AQ187" s="4">
        <f t="shared" si="414"/>
        <v>390.22857142857146</v>
      </c>
      <c r="AR187" s="4">
        <f t="shared" ref="AR187" si="415">AR177/AR351</f>
        <v>569.64705882352939</v>
      </c>
      <c r="AS187" s="4">
        <v>614</v>
      </c>
      <c r="AT187" s="9">
        <f t="shared" ref="AT187" si="416">ROUND(AT177/AT$351,0)</f>
        <v>1006</v>
      </c>
      <c r="AU187" s="9">
        <f t="shared" ref="AU187:AV187" si="417">ROUND(AU177/AU$351,0)</f>
        <v>757</v>
      </c>
      <c r="AV187" s="9">
        <f t="shared" si="417"/>
        <v>755</v>
      </c>
      <c r="AW187" s="9">
        <f t="shared" si="407"/>
        <v>1430</v>
      </c>
      <c r="AX187" s="9">
        <f t="shared" si="407"/>
        <v>1271</v>
      </c>
      <c r="AY187" s="9">
        <f t="shared" ref="AY187" si="418">ROUND(AY177/AY$351,0)</f>
        <v>1108</v>
      </c>
    </row>
    <row r="188" spans="1:51">
      <c r="A188" s="16"/>
      <c r="C188" s="3" t="s">
        <v>24</v>
      </c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AM188" s="4">
        <f t="shared" ref="AM188:AQ188" si="419">AM178/AM351</f>
        <v>2957.1470588235293</v>
      </c>
      <c r="AN188" s="4">
        <f t="shared" si="419"/>
        <v>3418.75</v>
      </c>
      <c r="AO188" s="4">
        <f t="shared" si="419"/>
        <v>3479.8055555555557</v>
      </c>
      <c r="AP188" s="4">
        <f t="shared" si="419"/>
        <v>3895.1142857142859</v>
      </c>
      <c r="AQ188" s="4">
        <f t="shared" si="419"/>
        <v>4335.8</v>
      </c>
      <c r="AR188" s="4">
        <f t="shared" ref="AR188" si="420">AR178/AR351</f>
        <v>4168.9705882352937</v>
      </c>
      <c r="AS188" s="4">
        <v>3403</v>
      </c>
      <c r="AT188" s="9">
        <f t="shared" ref="AT188" si="421">ROUND(AT178/AT$351,0)</f>
        <v>2935</v>
      </c>
      <c r="AU188" s="9">
        <f t="shared" ref="AU188:AV188" si="422">ROUND(AU178/AU$351,0)</f>
        <v>3240</v>
      </c>
      <c r="AV188" s="9">
        <f t="shared" si="422"/>
        <v>3543</v>
      </c>
      <c r="AW188" s="9">
        <f t="shared" si="407"/>
        <v>4188</v>
      </c>
      <c r="AX188" s="9">
        <f t="shared" si="407"/>
        <v>4921</v>
      </c>
      <c r="AY188" s="9">
        <f t="shared" ref="AY188" si="423">ROUND(AY178/AY$351,0)</f>
        <v>4835</v>
      </c>
    </row>
    <row r="189" spans="1:51">
      <c r="A189" s="16"/>
      <c r="C189" s="3" t="s">
        <v>10</v>
      </c>
      <c r="D189" s="4">
        <f t="shared" ref="D189:AQ189" si="424">D179/D351</f>
        <v>514.38461538461536</v>
      </c>
      <c r="E189" s="4">
        <f t="shared" ref="E189" si="425">E179/E351</f>
        <v>356.38461538461536</v>
      </c>
      <c r="F189" s="4">
        <f t="shared" si="424"/>
        <v>526.84615384615381</v>
      </c>
      <c r="G189" s="4">
        <f t="shared" si="424"/>
        <v>530.69230769230774</v>
      </c>
      <c r="H189" s="4">
        <f t="shared" si="424"/>
        <v>554.78571428571433</v>
      </c>
      <c r="I189" s="4">
        <f t="shared" si="424"/>
        <v>514.14285714285711</v>
      </c>
      <c r="J189" s="4">
        <f t="shared" si="424"/>
        <v>3588.3076923076924</v>
      </c>
      <c r="K189" s="4">
        <f t="shared" si="424"/>
        <v>764.69230769230774</v>
      </c>
      <c r="L189" s="4">
        <f t="shared" si="424"/>
        <v>823.23076923076928</v>
      </c>
      <c r="M189" s="4">
        <f t="shared" si="424"/>
        <v>1145.7692307692307</v>
      </c>
      <c r="N189" s="4">
        <f t="shared" si="424"/>
        <v>1031.3076923076924</v>
      </c>
      <c r="O189" s="4">
        <f t="shared" si="424"/>
        <v>1247.3076923076924</v>
      </c>
      <c r="P189" s="4">
        <f t="shared" si="424"/>
        <v>1181.6923076923076</v>
      </c>
      <c r="Q189" s="4">
        <f t="shared" si="424"/>
        <v>1550.2142857142858</v>
      </c>
      <c r="R189" s="4">
        <f t="shared" si="424"/>
        <v>1498.9333333333334</v>
      </c>
      <c r="S189" s="4">
        <f t="shared" si="424"/>
        <v>1514</v>
      </c>
      <c r="T189" s="4">
        <f t="shared" si="424"/>
        <v>1347.5625</v>
      </c>
      <c r="U189" s="4">
        <f t="shared" si="424"/>
        <v>1430</v>
      </c>
      <c r="V189" s="4">
        <f t="shared" si="424"/>
        <v>3911.05</v>
      </c>
      <c r="W189" s="4">
        <f t="shared" si="424"/>
        <v>3085.1</v>
      </c>
      <c r="X189" s="4">
        <f t="shared" si="424"/>
        <v>4009.65</v>
      </c>
      <c r="Y189" s="4">
        <f t="shared" si="424"/>
        <v>8964.85</v>
      </c>
      <c r="Z189" s="4">
        <f t="shared" si="424"/>
        <v>3665.8571428571427</v>
      </c>
      <c r="AA189" s="4">
        <f t="shared" si="424"/>
        <v>3379.2083333333335</v>
      </c>
      <c r="AB189" s="4">
        <f t="shared" si="424"/>
        <v>4494.916666666667</v>
      </c>
      <c r="AC189" s="4">
        <f t="shared" si="424"/>
        <v>4449.3076923076924</v>
      </c>
      <c r="AD189" s="4">
        <f t="shared" si="424"/>
        <v>3660.8846153846152</v>
      </c>
      <c r="AE189" s="4">
        <f t="shared" si="424"/>
        <v>3835.0357142857142</v>
      </c>
      <c r="AF189" s="4">
        <f t="shared" si="424"/>
        <v>2843.5</v>
      </c>
      <c r="AG189" s="4">
        <f t="shared" si="424"/>
        <v>2589.7241379310344</v>
      </c>
      <c r="AH189" s="4">
        <f t="shared" si="424"/>
        <v>2714.1</v>
      </c>
      <c r="AI189" s="4">
        <f t="shared" si="424"/>
        <v>4024.3</v>
      </c>
      <c r="AJ189" s="4">
        <f t="shared" si="424"/>
        <v>3017.8333333333335</v>
      </c>
      <c r="AK189" s="4">
        <f t="shared" si="424"/>
        <v>3320.516129032258</v>
      </c>
      <c r="AL189" s="4">
        <f t="shared" si="424"/>
        <v>3901.848484848485</v>
      </c>
      <c r="AM189" s="4">
        <f t="shared" si="424"/>
        <v>2079</v>
      </c>
      <c r="AN189" s="4">
        <f t="shared" si="424"/>
        <v>2409.5277777777778</v>
      </c>
      <c r="AO189" s="4">
        <f t="shared" si="424"/>
        <v>1790.9444444444443</v>
      </c>
      <c r="AP189" s="4">
        <f t="shared" si="424"/>
        <v>1775.9142857142858</v>
      </c>
      <c r="AQ189" s="4">
        <f t="shared" si="424"/>
        <v>2072.5714285714284</v>
      </c>
      <c r="AR189" s="4">
        <f t="shared" ref="AR189" si="426">AR179/AR351</f>
        <v>1620.0882352941176</v>
      </c>
      <c r="AS189" s="4">
        <v>2247</v>
      </c>
      <c r="AT189" s="9">
        <f t="shared" ref="AT189" si="427">ROUND(AT179/AT$351,0)</f>
        <v>1936</v>
      </c>
      <c r="AU189" s="9">
        <f t="shared" ref="AU189:AV189" si="428">ROUND(AU179/AU$351,0)</f>
        <v>1349</v>
      </c>
      <c r="AV189" s="9">
        <f t="shared" si="428"/>
        <v>1457</v>
      </c>
      <c r="AW189" s="9">
        <f t="shared" si="407"/>
        <v>1504</v>
      </c>
      <c r="AX189" s="9">
        <f t="shared" si="407"/>
        <v>1375</v>
      </c>
      <c r="AY189" s="9">
        <f t="shared" ref="AY189" si="429">ROUND(AY179/AY$351,0)</f>
        <v>1268</v>
      </c>
    </row>
    <row r="190" spans="1:51">
      <c r="A190" s="16"/>
      <c r="C190" s="3" t="s">
        <v>17</v>
      </c>
      <c r="D190" s="4">
        <f t="shared" ref="D190:AQ190" si="430">D180/D351</f>
        <v>28887.615384615383</v>
      </c>
      <c r="E190" s="4">
        <f t="shared" ref="E190" si="431">E180/E351</f>
        <v>31038.23076923077</v>
      </c>
      <c r="F190" s="4">
        <f t="shared" si="430"/>
        <v>34234.230769230766</v>
      </c>
      <c r="G190" s="4">
        <f t="shared" si="430"/>
        <v>35146.923076923078</v>
      </c>
      <c r="H190" s="4">
        <f t="shared" si="430"/>
        <v>34971.928571428572</v>
      </c>
      <c r="I190" s="4">
        <f t="shared" si="430"/>
        <v>42373.5</v>
      </c>
      <c r="J190" s="4">
        <f t="shared" si="430"/>
        <v>41451.615384615383</v>
      </c>
      <c r="K190" s="4">
        <f t="shared" si="430"/>
        <v>39816.846153846156</v>
      </c>
      <c r="L190" s="4">
        <f t="shared" si="430"/>
        <v>40604.461538461539</v>
      </c>
      <c r="M190" s="4">
        <f t="shared" si="430"/>
        <v>40359.615384615383</v>
      </c>
      <c r="N190" s="4">
        <f t="shared" si="430"/>
        <v>40912.769230769234</v>
      </c>
      <c r="O190" s="4">
        <f t="shared" si="430"/>
        <v>41417.846153846156</v>
      </c>
      <c r="P190" s="4">
        <f t="shared" si="430"/>
        <v>44786.461538461539</v>
      </c>
      <c r="Q190" s="4">
        <f t="shared" si="430"/>
        <v>43562.571428571428</v>
      </c>
      <c r="R190" s="4">
        <f t="shared" si="430"/>
        <v>58077.73333333333</v>
      </c>
      <c r="S190" s="4">
        <f t="shared" si="430"/>
        <v>50801.466666666667</v>
      </c>
      <c r="T190" s="4">
        <f t="shared" si="430"/>
        <v>58305.8125</v>
      </c>
      <c r="U190" s="4">
        <f t="shared" si="430"/>
        <v>85202.894736842107</v>
      </c>
      <c r="V190" s="4">
        <f t="shared" si="430"/>
        <v>78279.649999999994</v>
      </c>
      <c r="W190" s="4">
        <f t="shared" si="430"/>
        <v>80106.350000000006</v>
      </c>
      <c r="X190" s="4">
        <f t="shared" si="430"/>
        <v>81572.75</v>
      </c>
      <c r="Y190" s="4">
        <f t="shared" si="430"/>
        <v>75598</v>
      </c>
      <c r="Z190" s="4">
        <f t="shared" si="430"/>
        <v>72984.857142857145</v>
      </c>
      <c r="AA190" s="4">
        <f t="shared" si="430"/>
        <v>60755.666666666664</v>
      </c>
      <c r="AB190" s="4">
        <f t="shared" si="430"/>
        <v>79873.708333333328</v>
      </c>
      <c r="AC190" s="4">
        <f t="shared" si="430"/>
        <v>59822.269230769234</v>
      </c>
      <c r="AD190" s="4">
        <f t="shared" si="430"/>
        <v>55339.730769230766</v>
      </c>
      <c r="AE190" s="4">
        <f t="shared" si="430"/>
        <v>52078.357142857145</v>
      </c>
      <c r="AF190" s="4">
        <f t="shared" si="430"/>
        <v>46593.285714285717</v>
      </c>
      <c r="AG190" s="4">
        <f t="shared" si="430"/>
        <v>43658</v>
      </c>
      <c r="AH190" s="4">
        <f t="shared" si="430"/>
        <v>41747.166666666664</v>
      </c>
      <c r="AI190" s="4">
        <f t="shared" si="430"/>
        <v>48447.066666666666</v>
      </c>
      <c r="AJ190" s="4">
        <f t="shared" si="430"/>
        <v>48082.73333333333</v>
      </c>
      <c r="AK190" s="4">
        <f t="shared" si="430"/>
        <v>47507.774193548386</v>
      </c>
      <c r="AL190" s="4">
        <f t="shared" si="430"/>
        <v>45813.030303030304</v>
      </c>
      <c r="AM190" s="4">
        <f t="shared" si="430"/>
        <v>48413.088235294119</v>
      </c>
      <c r="AN190" s="4">
        <f t="shared" si="430"/>
        <v>47816.194444444445</v>
      </c>
      <c r="AO190" s="4">
        <f t="shared" si="430"/>
        <v>44423.5</v>
      </c>
      <c r="AP190" s="4">
        <f t="shared" si="430"/>
        <v>45985.971428571429</v>
      </c>
      <c r="AQ190" s="4">
        <f t="shared" si="430"/>
        <v>49143.171428571426</v>
      </c>
      <c r="AR190" s="4">
        <f t="shared" ref="AR190" si="432">AR180/AR351</f>
        <v>49863.352941176468</v>
      </c>
      <c r="AS190" s="4">
        <v>48694</v>
      </c>
      <c r="AT190" s="9">
        <f t="shared" ref="AT190:AY190" si="433">SUM(AT184:AT189)</f>
        <v>43577</v>
      </c>
      <c r="AU190" s="9">
        <f t="shared" si="433"/>
        <v>40163</v>
      </c>
      <c r="AV190" s="9">
        <f t="shared" si="433"/>
        <v>40400</v>
      </c>
      <c r="AW190" s="9">
        <f t="shared" si="433"/>
        <v>40895</v>
      </c>
      <c r="AX190" s="9">
        <f t="shared" si="433"/>
        <v>42667</v>
      </c>
      <c r="AY190" s="9">
        <f t="shared" si="433"/>
        <v>42323</v>
      </c>
    </row>
    <row r="191" spans="1:51">
      <c r="A191" s="16"/>
      <c r="C191" s="10" t="s">
        <v>12</v>
      </c>
      <c r="D191" s="8">
        <f t="shared" ref="D191:AQ191" si="434">D190/D334*100</f>
        <v>1.9385659715052652</v>
      </c>
      <c r="E191" s="8">
        <f t="shared" ref="E191" si="435">E190/E334*100</f>
        <v>1.9786054038150345</v>
      </c>
      <c r="F191" s="8">
        <f t="shared" si="434"/>
        <v>2.0056106354213608</v>
      </c>
      <c r="G191" s="8">
        <f t="shared" si="434"/>
        <v>2.0064552959775162</v>
      </c>
      <c r="H191" s="8">
        <f t="shared" si="434"/>
        <v>1.8850365886684892</v>
      </c>
      <c r="I191" s="8">
        <f t="shared" si="434"/>
        <v>1.5769990775857046</v>
      </c>
      <c r="J191" s="8">
        <f t="shared" si="434"/>
        <v>2.560204386475692</v>
      </c>
      <c r="K191" s="8">
        <f t="shared" si="434"/>
        <v>2.3021070088224036</v>
      </c>
      <c r="L191" s="8">
        <f t="shared" si="434"/>
        <v>2.2390766550071861</v>
      </c>
      <c r="M191" s="8">
        <f t="shared" si="434"/>
        <v>1.6923078957585425</v>
      </c>
      <c r="N191" s="8">
        <f t="shared" si="434"/>
        <v>1.6891489111549962</v>
      </c>
      <c r="O191" s="8">
        <f t="shared" si="434"/>
        <v>1.3581459725419587</v>
      </c>
      <c r="P191" s="8">
        <f t="shared" si="434"/>
        <v>1.8127199373476086</v>
      </c>
      <c r="Q191" s="8">
        <f t="shared" si="434"/>
        <v>1.8148643507364119</v>
      </c>
      <c r="R191" s="8">
        <f t="shared" si="434"/>
        <v>1.6157368225510467</v>
      </c>
      <c r="S191" s="8">
        <f t="shared" si="434"/>
        <v>1.7404377412575049</v>
      </c>
      <c r="T191" s="8">
        <f t="shared" si="434"/>
        <v>2.0623173808014608</v>
      </c>
      <c r="U191" s="8">
        <f t="shared" si="434"/>
        <v>2.6390906603785367</v>
      </c>
      <c r="V191" s="8">
        <f t="shared" si="434"/>
        <v>2.3793907847831566</v>
      </c>
      <c r="W191" s="8">
        <f t="shared" si="434"/>
        <v>2.5843673814489234</v>
      </c>
      <c r="X191" s="8">
        <f t="shared" si="434"/>
        <v>2.3199778368103483</v>
      </c>
      <c r="Y191" s="8">
        <f t="shared" si="434"/>
        <v>2.7878815034196243</v>
      </c>
      <c r="Z191" s="8">
        <f t="shared" si="434"/>
        <v>2.1572639542041561</v>
      </c>
      <c r="AA191" s="8">
        <f t="shared" si="434"/>
        <v>1.2392959843908824</v>
      </c>
      <c r="AB191" s="8">
        <f t="shared" si="434"/>
        <v>2.1014714473543674</v>
      </c>
      <c r="AC191" s="8">
        <f t="shared" si="434"/>
        <v>1.6018264899623114</v>
      </c>
      <c r="AD191" s="8">
        <f t="shared" si="434"/>
        <v>1.3307528960460731</v>
      </c>
      <c r="AE191" s="8">
        <f t="shared" si="434"/>
        <v>1.2930047551948511</v>
      </c>
      <c r="AF191" s="8">
        <f t="shared" si="434"/>
        <v>1.1830036063777147</v>
      </c>
      <c r="AG191" s="8">
        <f t="shared" si="434"/>
        <v>1.0209159057814674</v>
      </c>
      <c r="AH191" s="8">
        <f t="shared" si="434"/>
        <v>0.99213986526610465</v>
      </c>
      <c r="AI191" s="8">
        <f t="shared" si="434"/>
        <v>1.0826641440566982</v>
      </c>
      <c r="AJ191" s="8">
        <f t="shared" si="434"/>
        <v>1.0247701655155541</v>
      </c>
      <c r="AK191" s="8">
        <f t="shared" si="434"/>
        <v>0.86658414408995488</v>
      </c>
      <c r="AL191" s="8">
        <f t="shared" si="434"/>
        <v>0.88135151704560233</v>
      </c>
      <c r="AM191" s="8">
        <f t="shared" si="434"/>
        <v>0.93067541435423107</v>
      </c>
      <c r="AN191" s="8">
        <f t="shared" si="434"/>
        <v>0.91219734087344773</v>
      </c>
      <c r="AO191" s="8">
        <f t="shared" si="434"/>
        <v>0.84644165596846599</v>
      </c>
      <c r="AP191" s="8">
        <f t="shared" si="434"/>
        <v>1.0291403208963705</v>
      </c>
      <c r="AQ191" s="8">
        <f t="shared" si="434"/>
        <v>1.0659194585996681</v>
      </c>
      <c r="AR191" s="8">
        <f t="shared" ref="AR191:AT191" si="436">AR190/AR334*100</f>
        <v>0.97242117163675279</v>
      </c>
      <c r="AS191" s="8">
        <f t="shared" si="436"/>
        <v>0.95608698626144362</v>
      </c>
      <c r="AT191" s="40">
        <f t="shared" si="436"/>
        <v>1.0775742459867437</v>
      </c>
      <c r="AU191" s="40">
        <f t="shared" ref="AU191:AV191" si="437">AU190/AU334*100</f>
        <v>1.0125347080136327</v>
      </c>
      <c r="AV191" s="40">
        <f t="shared" si="437"/>
        <v>1.0170028140886129</v>
      </c>
      <c r="AW191" s="40">
        <f>AW190/AW334*100</f>
        <v>1.3447985120566555</v>
      </c>
      <c r="AX191" s="40">
        <f>AX190/AX334*100</f>
        <v>1.3815646286483751</v>
      </c>
      <c r="AY191" s="40">
        <f>AY190/AY334*100</f>
        <v>0.99198627649578897</v>
      </c>
    </row>
    <row r="192" spans="1:51">
      <c r="A192" s="16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AQ192" s="4"/>
      <c r="AR192" s="4"/>
      <c r="AS192" s="4"/>
      <c r="AT192" s="4"/>
      <c r="AU192" s="4"/>
      <c r="AV192" s="4"/>
      <c r="AW192" s="4"/>
      <c r="AX192" s="4"/>
      <c r="AY192" s="4"/>
    </row>
    <row r="193" spans="1:51" s="22" customFormat="1">
      <c r="A193" s="24" t="s">
        <v>6</v>
      </c>
      <c r="B193" s="22" t="s">
        <v>2</v>
      </c>
      <c r="C193" s="22" t="s">
        <v>8</v>
      </c>
      <c r="D193" s="23">
        <v>148572</v>
      </c>
      <c r="E193" s="23">
        <v>156650</v>
      </c>
      <c r="F193" s="23">
        <v>197899</v>
      </c>
      <c r="G193" s="23">
        <v>205219</v>
      </c>
      <c r="H193" s="23">
        <v>227037</v>
      </c>
      <c r="I193" s="23">
        <v>304525</v>
      </c>
      <c r="J193" s="23">
        <v>316378</v>
      </c>
      <c r="K193" s="23">
        <v>342195</v>
      </c>
      <c r="L193" s="23">
        <f>172409+129427</f>
        <v>301836</v>
      </c>
      <c r="M193" s="23">
        <f>163758+146043</f>
        <v>309801</v>
      </c>
      <c r="N193" s="23">
        <f>214717+164654</f>
        <v>379371</v>
      </c>
      <c r="O193" s="23">
        <f>190629+132378</f>
        <v>323007</v>
      </c>
      <c r="P193" s="23">
        <f>186005+132472</f>
        <v>318477</v>
      </c>
      <c r="Q193" s="23">
        <f>239568+141903</f>
        <v>381471</v>
      </c>
      <c r="R193" s="23">
        <f>245310+158053</f>
        <v>403363</v>
      </c>
      <c r="S193" s="23">
        <f>280994+189242</f>
        <v>470236</v>
      </c>
      <c r="T193" s="23">
        <f>226977+200706</f>
        <v>427683</v>
      </c>
      <c r="U193" s="23">
        <f>420329+432373</f>
        <v>852702</v>
      </c>
      <c r="V193" s="23">
        <f>358648+254151</f>
        <v>612799</v>
      </c>
      <c r="W193" s="23">
        <f>652915+270919</f>
        <v>923834</v>
      </c>
      <c r="X193" s="23">
        <f>474256+348475</f>
        <v>822731</v>
      </c>
      <c r="Y193" s="23">
        <f>541205+414457</f>
        <v>955662</v>
      </c>
      <c r="Z193" s="23">
        <f>572967+370254</f>
        <v>943221</v>
      </c>
      <c r="AA193" s="23">
        <f>423751+270901</f>
        <v>694652</v>
      </c>
      <c r="AB193" s="23">
        <f>784231+569319</f>
        <v>1353550</v>
      </c>
      <c r="AC193" s="23">
        <f>557738+300088</f>
        <v>857826</v>
      </c>
      <c r="AD193" s="23">
        <v>791375</v>
      </c>
      <c r="AE193" s="23">
        <v>702313</v>
      </c>
      <c r="AF193" s="23">
        <v>618381</v>
      </c>
      <c r="AG193" s="23">
        <v>551244</v>
      </c>
      <c r="AH193" s="23">
        <v>441200</v>
      </c>
      <c r="AI193" s="23">
        <v>430227</v>
      </c>
      <c r="AJ193" s="23">
        <v>376757</v>
      </c>
      <c r="AK193" s="23">
        <v>337923</v>
      </c>
      <c r="AL193" s="23">
        <v>365588</v>
      </c>
      <c r="AM193" s="23">
        <v>309124</v>
      </c>
      <c r="AN193" s="23">
        <v>321184</v>
      </c>
      <c r="AO193" s="23">
        <v>286404</v>
      </c>
      <c r="AP193" s="23">
        <v>285648</v>
      </c>
      <c r="AQ193" s="23">
        <v>289227</v>
      </c>
      <c r="AR193" s="23">
        <v>266810</v>
      </c>
      <c r="AS193" s="23">
        <v>274207</v>
      </c>
      <c r="AT193" s="23">
        <v>244594</v>
      </c>
      <c r="AU193" s="23">
        <v>231619</v>
      </c>
      <c r="AV193" s="39">
        <v>240790</v>
      </c>
      <c r="AW193" s="39">
        <v>317272</v>
      </c>
      <c r="AX193" s="39">
        <v>237392</v>
      </c>
      <c r="AY193" s="39">
        <v>216346</v>
      </c>
    </row>
    <row r="194" spans="1:51">
      <c r="A194" s="16"/>
      <c r="B194" s="3" t="s">
        <v>21</v>
      </c>
      <c r="C194" s="3" t="s">
        <v>9</v>
      </c>
      <c r="D194" s="4">
        <v>131046</v>
      </c>
      <c r="E194" s="4">
        <v>158504</v>
      </c>
      <c r="F194" s="4">
        <v>191319</v>
      </c>
      <c r="G194" s="4">
        <v>193292</v>
      </c>
      <c r="H194" s="4">
        <v>209248</v>
      </c>
      <c r="I194" s="4">
        <v>242192</v>
      </c>
      <c r="J194" s="4">
        <v>278673</v>
      </c>
      <c r="K194" s="4">
        <f>44585+248943</f>
        <v>293528</v>
      </c>
      <c r="L194" s="4">
        <f>45153+282252</f>
        <v>327405</v>
      </c>
      <c r="M194" s="4">
        <f>44822+273307</f>
        <v>318129</v>
      </c>
      <c r="N194" s="4">
        <f>48680+293966</f>
        <v>342646</v>
      </c>
      <c r="O194" s="4">
        <f>55846+295634</f>
        <v>351480</v>
      </c>
      <c r="P194" s="4">
        <f>51769+280941</f>
        <v>332710</v>
      </c>
      <c r="Q194" s="4">
        <f>60121+277392</f>
        <v>337513</v>
      </c>
      <c r="R194" s="4">
        <f>61858+258571</f>
        <v>320429</v>
      </c>
      <c r="S194" s="4">
        <f>61522+299962</f>
        <v>361484</v>
      </c>
      <c r="T194" s="4">
        <f>58161+337305</f>
        <v>395466</v>
      </c>
      <c r="U194" s="4">
        <f>72240+374778</f>
        <v>447018</v>
      </c>
      <c r="V194" s="4">
        <f>68148+483136</f>
        <v>551284</v>
      </c>
      <c r="W194" s="4">
        <f>93150+413661</f>
        <v>506811</v>
      </c>
      <c r="X194" s="4">
        <f>92699+425479</f>
        <v>518178</v>
      </c>
      <c r="Y194" s="4">
        <f>101296+445992</f>
        <v>547288</v>
      </c>
      <c r="Z194" s="4">
        <f>89458+481754</f>
        <v>571212</v>
      </c>
      <c r="AA194" s="4">
        <f>87728+447262</f>
        <v>534990</v>
      </c>
      <c r="AB194" s="4">
        <f>110479+503030</f>
        <v>613509</v>
      </c>
      <c r="AC194" s="4">
        <f>119429+488005</f>
        <v>607434</v>
      </c>
      <c r="AD194" s="4">
        <v>619227</v>
      </c>
      <c r="AE194" s="4">
        <v>662825</v>
      </c>
      <c r="AF194" s="4">
        <v>586337</v>
      </c>
      <c r="AG194" s="4">
        <v>465139</v>
      </c>
      <c r="AH194" s="4">
        <v>466136</v>
      </c>
      <c r="AI194" s="4">
        <v>447480</v>
      </c>
      <c r="AJ194" s="4">
        <v>399466</v>
      </c>
      <c r="AK194" s="4">
        <v>373581</v>
      </c>
      <c r="AL194" s="4">
        <v>359535</v>
      </c>
      <c r="AM194" s="4">
        <v>343244</v>
      </c>
      <c r="AN194" s="4">
        <v>313563</v>
      </c>
      <c r="AO194" s="4">
        <v>282978</v>
      </c>
      <c r="AP194" s="4">
        <v>292410</v>
      </c>
      <c r="AQ194" s="4">
        <v>292286</v>
      </c>
      <c r="AR194" s="4">
        <v>275152</v>
      </c>
      <c r="AS194" s="4">
        <v>277696</v>
      </c>
      <c r="AT194" s="4">
        <v>233341</v>
      </c>
      <c r="AU194" s="4">
        <v>205595</v>
      </c>
      <c r="AV194" s="4">
        <v>191689</v>
      </c>
      <c r="AW194" s="4">
        <v>186586</v>
      </c>
      <c r="AX194" s="4">
        <v>170949</v>
      </c>
      <c r="AY194" s="4">
        <v>170074</v>
      </c>
    </row>
    <row r="195" spans="1:51">
      <c r="A195" s="16"/>
      <c r="C195" s="3" t="s">
        <v>11</v>
      </c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AG195" s="4">
        <v>79916</v>
      </c>
      <c r="AH195" s="4">
        <v>80238</v>
      </c>
      <c r="AI195" s="4">
        <v>130626</v>
      </c>
      <c r="AJ195" s="4">
        <v>166676</v>
      </c>
      <c r="AK195" s="4">
        <v>215237</v>
      </c>
      <c r="AL195" s="4">
        <v>211963</v>
      </c>
      <c r="AM195" s="4">
        <v>231180</v>
      </c>
      <c r="AN195" s="4">
        <v>242317</v>
      </c>
      <c r="AO195" s="4">
        <v>266517</v>
      </c>
      <c r="AP195" s="4">
        <v>307358</v>
      </c>
      <c r="AQ195" s="4">
        <v>322540</v>
      </c>
      <c r="AR195" s="4">
        <v>387318</v>
      </c>
      <c r="AS195" s="4">
        <v>411100</v>
      </c>
      <c r="AT195" s="4">
        <v>409353</v>
      </c>
      <c r="AU195" s="4">
        <v>421752</v>
      </c>
      <c r="AV195" s="4">
        <v>440016</v>
      </c>
      <c r="AW195" s="4">
        <v>476091</v>
      </c>
      <c r="AX195" s="4">
        <v>500339</v>
      </c>
      <c r="AY195" s="4">
        <v>532662</v>
      </c>
    </row>
    <row r="196" spans="1:51">
      <c r="A196" s="16"/>
      <c r="C196" s="3" t="s">
        <v>26</v>
      </c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AM196" s="4">
        <v>9718</v>
      </c>
      <c r="AN196" s="4">
        <v>9726</v>
      </c>
      <c r="AO196" s="4">
        <v>7483</v>
      </c>
      <c r="AP196" s="4">
        <v>9107</v>
      </c>
      <c r="AQ196" s="4">
        <v>9719</v>
      </c>
      <c r="AR196" s="4">
        <v>11057</v>
      </c>
      <c r="AS196" s="4">
        <v>14813</v>
      </c>
      <c r="AT196" s="4">
        <v>15628</v>
      </c>
      <c r="AU196" s="4">
        <v>15311</v>
      </c>
      <c r="AV196" s="4">
        <v>22490</v>
      </c>
      <c r="AW196" s="4">
        <v>81899</v>
      </c>
      <c r="AX196" s="4">
        <v>129291</v>
      </c>
      <c r="AY196" s="4">
        <v>42161</v>
      </c>
    </row>
    <row r="197" spans="1:51">
      <c r="A197" s="16"/>
      <c r="C197" s="3" t="s">
        <v>24</v>
      </c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AM197" s="4">
        <v>72160</v>
      </c>
      <c r="AN197" s="4">
        <v>81354</v>
      </c>
      <c r="AO197" s="4">
        <v>84675</v>
      </c>
      <c r="AP197" s="4">
        <v>91263</v>
      </c>
      <c r="AQ197" s="4">
        <v>104338</v>
      </c>
      <c r="AR197" s="4">
        <v>105056</v>
      </c>
      <c r="AS197" s="4">
        <v>112615</v>
      </c>
      <c r="AT197" s="4">
        <v>107455</v>
      </c>
      <c r="AU197" s="4">
        <v>107566</v>
      </c>
      <c r="AV197" s="4">
        <v>108815</v>
      </c>
      <c r="AW197" s="4">
        <v>121161</v>
      </c>
      <c r="AX197" s="4">
        <v>138900</v>
      </c>
      <c r="AY197" s="4">
        <v>153438</v>
      </c>
    </row>
    <row r="198" spans="1:51">
      <c r="A198" s="16"/>
      <c r="C198" s="3" t="s">
        <v>10</v>
      </c>
      <c r="D198" s="4">
        <v>8652</v>
      </c>
      <c r="E198" s="4">
        <v>4341</v>
      </c>
      <c r="F198" s="4">
        <v>5322</v>
      </c>
      <c r="G198" s="4">
        <v>8767</v>
      </c>
      <c r="H198" s="4">
        <v>15138</v>
      </c>
      <c r="I198" s="4">
        <v>9119</v>
      </c>
      <c r="J198" s="4">
        <v>6892</v>
      </c>
      <c r="K198" s="4">
        <v>11675</v>
      </c>
      <c r="L198" s="4">
        <v>10838</v>
      </c>
      <c r="M198" s="4">
        <v>7213</v>
      </c>
      <c r="N198" s="4">
        <v>7174</v>
      </c>
      <c r="O198" s="4">
        <v>5745</v>
      </c>
      <c r="P198" s="4">
        <v>10387</v>
      </c>
      <c r="Q198" s="4">
        <v>20975</v>
      </c>
      <c r="R198" s="4">
        <v>14626</v>
      </c>
      <c r="S198" s="4">
        <v>21149</v>
      </c>
      <c r="T198" s="4">
        <v>34458</v>
      </c>
      <c r="U198" s="4">
        <v>62467</v>
      </c>
      <c r="V198" s="4">
        <v>59167</v>
      </c>
      <c r="W198" s="4">
        <v>98541</v>
      </c>
      <c r="X198" s="4">
        <v>86866</v>
      </c>
      <c r="Y198" s="4">
        <v>118479</v>
      </c>
      <c r="Z198" s="4">
        <v>116202</v>
      </c>
      <c r="AA198" s="4">
        <v>108262</v>
      </c>
      <c r="AB198" s="4">
        <v>148132</v>
      </c>
      <c r="AC198" s="4">
        <v>100083</v>
      </c>
      <c r="AD198" s="4">
        <v>113020</v>
      </c>
      <c r="AE198" s="4">
        <v>154646</v>
      </c>
      <c r="AF198" s="4">
        <v>91971</v>
      </c>
      <c r="AG198" s="4">
        <v>99207</v>
      </c>
      <c r="AH198" s="4">
        <v>90443</v>
      </c>
      <c r="AI198" s="4">
        <v>94413</v>
      </c>
      <c r="AJ198" s="4">
        <v>88820</v>
      </c>
      <c r="AK198" s="4">
        <v>87073</v>
      </c>
      <c r="AL198" s="4">
        <v>86386</v>
      </c>
      <c r="AM198" s="4">
        <v>48651</v>
      </c>
      <c r="AN198" s="4">
        <v>27283</v>
      </c>
      <c r="AO198" s="4">
        <v>31514</v>
      </c>
      <c r="AP198" s="4">
        <v>32076</v>
      </c>
      <c r="AQ198" s="4">
        <v>32643</v>
      </c>
      <c r="AR198" s="4">
        <v>53079</v>
      </c>
      <c r="AS198" s="4">
        <v>44025</v>
      </c>
      <c r="AT198" s="4">
        <v>32092</v>
      </c>
      <c r="AU198" s="4">
        <v>38904</v>
      </c>
      <c r="AV198" s="4">
        <v>35182</v>
      </c>
      <c r="AW198" s="4">
        <v>30558</v>
      </c>
      <c r="AX198" s="4">
        <v>38025</v>
      </c>
      <c r="AY198" s="4">
        <v>33997</v>
      </c>
    </row>
    <row r="199" spans="1:51">
      <c r="A199" s="16"/>
      <c r="C199" s="3" t="s">
        <v>17</v>
      </c>
      <c r="D199" s="4">
        <v>288270</v>
      </c>
      <c r="E199" s="4">
        <v>319495</v>
      </c>
      <c r="F199" s="4">
        <v>394540</v>
      </c>
      <c r="G199" s="4">
        <v>407278</v>
      </c>
      <c r="H199" s="4">
        <v>451423</v>
      </c>
      <c r="I199" s="4">
        <v>555836</v>
      </c>
      <c r="J199" s="4">
        <v>601943</v>
      </c>
      <c r="K199" s="4">
        <v>647398</v>
      </c>
      <c r="L199" s="4">
        <v>640079</v>
      </c>
      <c r="M199" s="4">
        <v>635143</v>
      </c>
      <c r="N199" s="4">
        <v>729191</v>
      </c>
      <c r="O199" s="4">
        <v>680232</v>
      </c>
      <c r="P199" s="4">
        <v>661574</v>
      </c>
      <c r="Q199" s="4">
        <v>739959</v>
      </c>
      <c r="R199" s="4">
        <v>738418</v>
      </c>
      <c r="S199" s="4">
        <v>852869</v>
      </c>
      <c r="T199" s="4">
        <v>857607</v>
      </c>
      <c r="U199" s="4">
        <v>1362187</v>
      </c>
      <c r="V199" s="4">
        <v>1223250</v>
      </c>
      <c r="W199" s="4">
        <v>1529186</v>
      </c>
      <c r="X199" s="4">
        <v>1427775</v>
      </c>
      <c r="Y199" s="4">
        <v>1621429</v>
      </c>
      <c r="Z199" s="4">
        <v>1630635</v>
      </c>
      <c r="AA199" s="4">
        <v>1337904</v>
      </c>
      <c r="AB199" s="4">
        <v>2115191</v>
      </c>
      <c r="AC199" s="4">
        <v>1565343</v>
      </c>
      <c r="AD199" s="4">
        <v>1523622</v>
      </c>
      <c r="AE199" s="4">
        <v>1519784</v>
      </c>
      <c r="AF199" s="4">
        <v>1296689</v>
      </c>
      <c r="AG199" s="4">
        <v>1195506</v>
      </c>
      <c r="AH199" s="4">
        <v>1078017</v>
      </c>
      <c r="AI199" s="4">
        <v>1102746</v>
      </c>
      <c r="AJ199" s="4">
        <v>1031719</v>
      </c>
      <c r="AK199" s="4">
        <v>1013814</v>
      </c>
      <c r="AL199" s="4">
        <v>1023472</v>
      </c>
      <c r="AM199" s="4">
        <v>1014077</v>
      </c>
      <c r="AN199" s="4">
        <v>995427</v>
      </c>
      <c r="AO199" s="4">
        <v>959571</v>
      </c>
      <c r="AP199" s="4">
        <v>1017862</v>
      </c>
      <c r="AQ199" s="4">
        <v>1056013</v>
      </c>
      <c r="AR199" s="4">
        <v>1098472</v>
      </c>
      <c r="AS199" s="4">
        <v>1134456</v>
      </c>
      <c r="AT199" s="9">
        <f t="shared" ref="AT199:AY199" si="438">SUM(AT193:AT198)</f>
        <v>1042463</v>
      </c>
      <c r="AU199" s="9">
        <f t="shared" si="438"/>
        <v>1020747</v>
      </c>
      <c r="AV199" s="9">
        <f t="shared" si="438"/>
        <v>1038982</v>
      </c>
      <c r="AW199" s="9">
        <f t="shared" si="438"/>
        <v>1213567</v>
      </c>
      <c r="AX199" s="9">
        <f t="shared" si="438"/>
        <v>1214896</v>
      </c>
      <c r="AY199" s="9">
        <f t="shared" si="438"/>
        <v>1148678</v>
      </c>
    </row>
    <row r="200" spans="1:51">
      <c r="A200" s="16"/>
      <c r="C200" s="10" t="s">
        <v>12</v>
      </c>
      <c r="D200" s="8">
        <f t="shared" ref="D200:AP200" si="439">D199/D317*100</f>
        <v>1.4709904577231208</v>
      </c>
      <c r="E200" s="8">
        <f t="shared" si="439"/>
        <v>1.4224433462446018</v>
      </c>
      <c r="F200" s="8">
        <f t="shared" si="439"/>
        <v>1.4813952615176662</v>
      </c>
      <c r="G200" s="8">
        <f t="shared" si="439"/>
        <v>1.2893848735239182</v>
      </c>
      <c r="H200" s="8">
        <f t="shared" si="439"/>
        <v>1.2303486080843795</v>
      </c>
      <c r="I200" s="8">
        <f t="shared" si="439"/>
        <v>1.3525080171910691</v>
      </c>
      <c r="J200" s="8">
        <f t="shared" si="439"/>
        <v>1.5792012824118795</v>
      </c>
      <c r="K200" s="8">
        <f t="shared" si="439"/>
        <v>1.6294039408542162</v>
      </c>
      <c r="L200" s="8">
        <f t="shared" si="439"/>
        <v>1.6162336490483338</v>
      </c>
      <c r="M200" s="8">
        <f t="shared" si="439"/>
        <v>1.3525977691505966</v>
      </c>
      <c r="N200" s="8">
        <f t="shared" si="439"/>
        <v>1.4668392966591759</v>
      </c>
      <c r="O200" s="8">
        <f t="shared" si="439"/>
        <v>1.4129207161945541</v>
      </c>
      <c r="P200" s="8">
        <f t="shared" si="439"/>
        <v>1.0931566875158367</v>
      </c>
      <c r="Q200" s="8">
        <f t="shared" si="439"/>
        <v>1.321548208785039</v>
      </c>
      <c r="R200" s="8">
        <f t="shared" si="439"/>
        <v>0.72822066773209404</v>
      </c>
      <c r="S200" s="8">
        <f t="shared" si="439"/>
        <v>1.8747486945304588</v>
      </c>
      <c r="T200" s="8">
        <f t="shared" si="439"/>
        <v>0.98948400307254436</v>
      </c>
      <c r="U200" s="8">
        <f t="shared" si="439"/>
        <v>2.9394025230810144</v>
      </c>
      <c r="V200" s="8">
        <f t="shared" si="439"/>
        <v>2.2838184503517471</v>
      </c>
      <c r="W200" s="8">
        <f t="shared" si="439"/>
        <v>2.5271132550088513</v>
      </c>
      <c r="X200" s="8">
        <f t="shared" si="439"/>
        <v>2.0163536231563133</v>
      </c>
      <c r="Y200" s="8">
        <f t="shared" si="439"/>
        <v>2.5192168809309261</v>
      </c>
      <c r="Z200" s="8">
        <f t="shared" si="439"/>
        <v>2.3349976719974337</v>
      </c>
      <c r="AA200" s="8">
        <f t="shared" si="439"/>
        <v>0.97697429839431071</v>
      </c>
      <c r="AB200" s="8">
        <f t="shared" si="439"/>
        <v>2.5117296683393633</v>
      </c>
      <c r="AC200" s="8">
        <f t="shared" si="439"/>
        <v>2.1729131309907466</v>
      </c>
      <c r="AD200" s="8">
        <f t="shared" si="439"/>
        <v>2.0210323073320193</v>
      </c>
      <c r="AE200" s="8">
        <f t="shared" si="439"/>
        <v>2.1433108781618455</v>
      </c>
      <c r="AF200" s="8">
        <f t="shared" si="439"/>
        <v>1.8699207110552434</v>
      </c>
      <c r="AG200" s="8">
        <f t="shared" si="439"/>
        <v>1.6757823348113037</v>
      </c>
      <c r="AH200" s="8">
        <f t="shared" si="439"/>
        <v>1.6630321194624449</v>
      </c>
      <c r="AI200" s="8">
        <f t="shared" si="439"/>
        <v>1.6314767698983299</v>
      </c>
      <c r="AJ200" s="8">
        <f t="shared" si="439"/>
        <v>1.6107154615735753</v>
      </c>
      <c r="AK200" s="8">
        <f t="shared" si="439"/>
        <v>1.5644195479501009</v>
      </c>
      <c r="AL200" s="8">
        <f t="shared" si="439"/>
        <v>1.4861794525909362</v>
      </c>
      <c r="AM200" s="8">
        <f t="shared" si="439"/>
        <v>1.5277886439897073</v>
      </c>
      <c r="AN200" s="8">
        <f t="shared" si="439"/>
        <v>1.5346974914081088</v>
      </c>
      <c r="AO200" s="8">
        <f t="shared" si="439"/>
        <v>1.4706815012378405</v>
      </c>
      <c r="AP200" s="8">
        <f t="shared" si="439"/>
        <v>1.508430625109489</v>
      </c>
      <c r="AQ200" s="8">
        <f t="shared" ref="AQ200:AW200" si="440">AQ199/AQ317*100</f>
        <v>1.377869745391725</v>
      </c>
      <c r="AR200" s="8">
        <f t="shared" si="440"/>
        <v>1.3522295768890751</v>
      </c>
      <c r="AS200" s="8">
        <f t="shared" si="440"/>
        <v>1.3521192511264353</v>
      </c>
      <c r="AT200" s="40">
        <f t="shared" si="440"/>
        <v>1.2832223280978055</v>
      </c>
      <c r="AU200" s="40">
        <f t="shared" si="440"/>
        <v>1.3227360707901659</v>
      </c>
      <c r="AV200" s="40">
        <f t="shared" ref="AV200" si="441">AV199/AV317*100</f>
        <v>1.3525197638909994</v>
      </c>
      <c r="AW200" s="40">
        <f t="shared" si="440"/>
        <v>1.5737129978547464</v>
      </c>
      <c r="AX200" s="40">
        <f t="shared" ref="AX200:AY200" si="442">AX199/AX317*100</f>
        <v>1.4879688643725204</v>
      </c>
      <c r="AY200" s="40">
        <f t="shared" si="442"/>
        <v>0.16384795127277713</v>
      </c>
    </row>
    <row r="201" spans="1:51">
      <c r="A201" s="16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</row>
    <row r="202" spans="1:51" s="2" customFormat="1">
      <c r="A202" s="17"/>
      <c r="C202" s="3"/>
      <c r="D202" s="1">
        <f t="shared" ref="D202:AQ202" si="443">D2</f>
        <v>1975</v>
      </c>
      <c r="E202" s="1">
        <f t="shared" ref="E202" si="444">E2</f>
        <v>76</v>
      </c>
      <c r="F202" s="1">
        <f t="shared" si="443"/>
        <v>77</v>
      </c>
      <c r="G202" s="1">
        <f t="shared" si="443"/>
        <v>78</v>
      </c>
      <c r="H202" s="1">
        <f t="shared" si="443"/>
        <v>79</v>
      </c>
      <c r="I202" s="1">
        <f t="shared" si="443"/>
        <v>80</v>
      </c>
      <c r="J202" s="1">
        <f t="shared" si="443"/>
        <v>81</v>
      </c>
      <c r="K202" s="1">
        <f t="shared" si="443"/>
        <v>82</v>
      </c>
      <c r="L202" s="1">
        <f t="shared" si="443"/>
        <v>83</v>
      </c>
      <c r="M202" s="1">
        <f t="shared" si="443"/>
        <v>84</v>
      </c>
      <c r="N202" s="1">
        <f t="shared" si="443"/>
        <v>85</v>
      </c>
      <c r="O202" s="1">
        <f t="shared" si="443"/>
        <v>86</v>
      </c>
      <c r="P202" s="1">
        <f t="shared" si="443"/>
        <v>87</v>
      </c>
      <c r="Q202" s="1">
        <f t="shared" si="443"/>
        <v>88</v>
      </c>
      <c r="R202" s="1">
        <f t="shared" si="443"/>
        <v>89</v>
      </c>
      <c r="S202" s="1" t="str">
        <f t="shared" si="443"/>
        <v>90</v>
      </c>
      <c r="T202" s="1" t="str">
        <f t="shared" si="443"/>
        <v>91</v>
      </c>
      <c r="U202" s="1" t="str">
        <f t="shared" si="443"/>
        <v>92</v>
      </c>
      <c r="V202" s="1" t="str">
        <f t="shared" si="443"/>
        <v>93</v>
      </c>
      <c r="W202" s="1" t="str">
        <f t="shared" si="443"/>
        <v>94</v>
      </c>
      <c r="X202" s="1" t="str">
        <f t="shared" si="443"/>
        <v>95</v>
      </c>
      <c r="Y202" s="1" t="str">
        <f t="shared" si="443"/>
        <v>96</v>
      </c>
      <c r="Z202" s="1" t="str">
        <f t="shared" si="443"/>
        <v>97</v>
      </c>
      <c r="AA202" s="1" t="str">
        <f t="shared" si="443"/>
        <v>98</v>
      </c>
      <c r="AB202" s="1" t="str">
        <f t="shared" si="443"/>
        <v>99</v>
      </c>
      <c r="AC202" s="1" t="str">
        <f t="shared" si="443"/>
        <v>2000</v>
      </c>
      <c r="AD202" s="1" t="str">
        <f t="shared" si="443"/>
        <v>01</v>
      </c>
      <c r="AE202" s="1" t="str">
        <f t="shared" si="443"/>
        <v>02</v>
      </c>
      <c r="AF202" s="1" t="str">
        <f t="shared" si="443"/>
        <v>03</v>
      </c>
      <c r="AG202" s="1" t="str">
        <f t="shared" si="443"/>
        <v>04</v>
      </c>
      <c r="AH202" s="1" t="str">
        <f t="shared" si="443"/>
        <v>05</v>
      </c>
      <c r="AI202" s="1" t="str">
        <f t="shared" si="443"/>
        <v>06</v>
      </c>
      <c r="AJ202" s="1" t="str">
        <f t="shared" si="443"/>
        <v>07</v>
      </c>
      <c r="AK202" s="1" t="str">
        <f t="shared" si="443"/>
        <v>08</v>
      </c>
      <c r="AL202" s="1" t="str">
        <f t="shared" si="443"/>
        <v>09</v>
      </c>
      <c r="AM202" s="1" t="str">
        <f t="shared" si="443"/>
        <v>10</v>
      </c>
      <c r="AN202" s="1" t="str">
        <f t="shared" si="443"/>
        <v>11</v>
      </c>
      <c r="AO202" s="1" t="str">
        <f t="shared" si="443"/>
        <v>12</v>
      </c>
      <c r="AP202" s="1" t="str">
        <f t="shared" si="443"/>
        <v>13</v>
      </c>
      <c r="AQ202" s="1" t="str">
        <f t="shared" si="443"/>
        <v>14</v>
      </c>
      <c r="AR202" s="1" t="str">
        <f t="shared" ref="AR202:AS202" si="445">AR2</f>
        <v>15</v>
      </c>
      <c r="AS202" s="1" t="str">
        <f t="shared" si="445"/>
        <v>16</v>
      </c>
      <c r="AT202" s="1" t="str">
        <f t="shared" ref="AT202" si="446">AT2</f>
        <v>17</v>
      </c>
      <c r="AU202" s="1">
        <v>18</v>
      </c>
      <c r="AV202" s="1">
        <v>19</v>
      </c>
      <c r="AW202" s="1">
        <v>20</v>
      </c>
      <c r="AX202" s="1">
        <v>21</v>
      </c>
      <c r="AY202" s="1">
        <v>22</v>
      </c>
    </row>
    <row r="203" spans="1:51">
      <c r="A203" s="16" t="s">
        <v>6</v>
      </c>
      <c r="B203" s="3" t="s">
        <v>31</v>
      </c>
      <c r="C203" s="3" t="s">
        <v>8</v>
      </c>
      <c r="D203" s="4">
        <f t="shared" ref="D203:AQ203" si="447">D193/D352</f>
        <v>8254</v>
      </c>
      <c r="E203" s="4">
        <f t="shared" ref="E203" si="448">E193/E352</f>
        <v>8702.7777777777774</v>
      </c>
      <c r="F203" s="4">
        <f t="shared" si="447"/>
        <v>10994.388888888889</v>
      </c>
      <c r="G203" s="4">
        <f t="shared" si="447"/>
        <v>11401.055555555555</v>
      </c>
      <c r="H203" s="4">
        <f t="shared" si="447"/>
        <v>13355.117647058823</v>
      </c>
      <c r="I203" s="4">
        <f t="shared" si="447"/>
        <v>16918.055555555555</v>
      </c>
      <c r="J203" s="4">
        <f t="shared" si="447"/>
        <v>17576.555555555555</v>
      </c>
      <c r="K203" s="4">
        <f t="shared" si="447"/>
        <v>19010.833333333332</v>
      </c>
      <c r="L203" s="4">
        <f t="shared" si="447"/>
        <v>16768.666666666668</v>
      </c>
      <c r="M203" s="4">
        <f t="shared" si="447"/>
        <v>17211.166666666668</v>
      </c>
      <c r="N203" s="4">
        <f t="shared" si="447"/>
        <v>18968.55</v>
      </c>
      <c r="O203" s="4">
        <f t="shared" si="447"/>
        <v>16150.35</v>
      </c>
      <c r="P203" s="4">
        <f t="shared" si="447"/>
        <v>15165.571428571429</v>
      </c>
      <c r="Q203" s="4">
        <f t="shared" si="447"/>
        <v>19073.55</v>
      </c>
      <c r="R203" s="4">
        <f t="shared" si="447"/>
        <v>19207.761904761905</v>
      </c>
      <c r="S203" s="4">
        <f t="shared" si="447"/>
        <v>22392.190476190477</v>
      </c>
      <c r="T203" s="4">
        <f t="shared" si="447"/>
        <v>19440.136363636364</v>
      </c>
      <c r="U203" s="4">
        <f t="shared" si="447"/>
        <v>35529.25</v>
      </c>
      <c r="V203" s="4">
        <f t="shared" si="447"/>
        <v>24511.96</v>
      </c>
      <c r="W203" s="4">
        <f t="shared" si="447"/>
        <v>32994.071428571428</v>
      </c>
      <c r="X203" s="4">
        <f t="shared" si="447"/>
        <v>28370.03448275862</v>
      </c>
      <c r="Y203" s="4">
        <f t="shared" si="447"/>
        <v>28959.454545454544</v>
      </c>
      <c r="Z203" s="4">
        <f t="shared" si="447"/>
        <v>28582.454545454544</v>
      </c>
      <c r="AA203" s="4">
        <f t="shared" si="447"/>
        <v>19847.2</v>
      </c>
      <c r="AB203" s="4">
        <f t="shared" si="447"/>
        <v>33013.414634146342</v>
      </c>
      <c r="AC203" s="4">
        <f t="shared" si="447"/>
        <v>20424.428571428572</v>
      </c>
      <c r="AD203" s="4">
        <f t="shared" si="447"/>
        <v>18404.069767441859</v>
      </c>
      <c r="AE203" s="4">
        <f t="shared" si="447"/>
        <v>16721.738095238095</v>
      </c>
      <c r="AF203" s="4">
        <f t="shared" si="447"/>
        <v>14723.357142857143</v>
      </c>
      <c r="AG203" s="4">
        <f t="shared" si="447"/>
        <v>14506.421052631578</v>
      </c>
      <c r="AH203" s="4">
        <f t="shared" si="447"/>
        <v>11030</v>
      </c>
      <c r="AI203" s="4">
        <f t="shared" si="447"/>
        <v>10755.674999999999</v>
      </c>
      <c r="AJ203" s="4">
        <f t="shared" si="447"/>
        <v>9660.4358974358965</v>
      </c>
      <c r="AK203" s="4">
        <f t="shared" si="447"/>
        <v>8664.6923076923085</v>
      </c>
      <c r="AL203" s="4">
        <f t="shared" si="447"/>
        <v>9139.7000000000007</v>
      </c>
      <c r="AM203" s="4">
        <f t="shared" si="447"/>
        <v>7728.1</v>
      </c>
      <c r="AN203" s="4">
        <f t="shared" si="447"/>
        <v>8235.4871794871797</v>
      </c>
      <c r="AO203" s="4">
        <f t="shared" si="447"/>
        <v>7160.1</v>
      </c>
      <c r="AP203" s="4">
        <f t="shared" si="447"/>
        <v>6492</v>
      </c>
      <c r="AQ203" s="4">
        <f t="shared" si="447"/>
        <v>6573.340909090909</v>
      </c>
      <c r="AR203" s="4">
        <f t="shared" ref="AR203" si="449">AR193/AR352</f>
        <v>5800.217391304348</v>
      </c>
      <c r="AS203" s="4">
        <v>5961</v>
      </c>
      <c r="AT203" s="9">
        <f t="shared" ref="AT203:AY203" si="450">ROUND(AT193/AT$352,0)</f>
        <v>5559</v>
      </c>
      <c r="AU203" s="9">
        <f t="shared" si="450"/>
        <v>5264</v>
      </c>
      <c r="AV203" s="9">
        <f t="shared" si="450"/>
        <v>5473</v>
      </c>
      <c r="AW203" s="9">
        <f t="shared" si="450"/>
        <v>6610</v>
      </c>
      <c r="AX203" s="9">
        <f t="shared" si="450"/>
        <v>4845</v>
      </c>
      <c r="AY203" s="9">
        <f t="shared" si="450"/>
        <v>4415</v>
      </c>
    </row>
    <row r="204" spans="1:51">
      <c r="A204" s="16"/>
      <c r="B204" s="3" t="s">
        <v>21</v>
      </c>
      <c r="C204" s="3" t="s">
        <v>9</v>
      </c>
      <c r="D204" s="4">
        <f t="shared" ref="D204:AQ204" si="451">D194/D352</f>
        <v>7280.333333333333</v>
      </c>
      <c r="E204" s="4">
        <f t="shared" ref="E204" si="452">E194/E352</f>
        <v>8805.7777777777774</v>
      </c>
      <c r="F204" s="4">
        <f t="shared" si="451"/>
        <v>10628.833333333334</v>
      </c>
      <c r="G204" s="4">
        <f t="shared" si="451"/>
        <v>10738.444444444445</v>
      </c>
      <c r="H204" s="4">
        <f t="shared" si="451"/>
        <v>12308.705882352941</v>
      </c>
      <c r="I204" s="4">
        <f t="shared" si="451"/>
        <v>13455.111111111111</v>
      </c>
      <c r="J204" s="4">
        <f t="shared" si="451"/>
        <v>15481.833333333334</v>
      </c>
      <c r="K204" s="4">
        <f t="shared" si="451"/>
        <v>16307.111111111111</v>
      </c>
      <c r="L204" s="4">
        <f t="shared" si="451"/>
        <v>18189.166666666668</v>
      </c>
      <c r="M204" s="4">
        <f t="shared" si="451"/>
        <v>17673.833333333332</v>
      </c>
      <c r="N204" s="4">
        <f t="shared" si="451"/>
        <v>17132.3</v>
      </c>
      <c r="O204" s="4">
        <f t="shared" si="451"/>
        <v>17574</v>
      </c>
      <c r="P204" s="4">
        <f t="shared" si="451"/>
        <v>15843.333333333334</v>
      </c>
      <c r="Q204" s="4">
        <f t="shared" si="451"/>
        <v>16875.650000000001</v>
      </c>
      <c r="R204" s="4">
        <f t="shared" si="451"/>
        <v>15258.523809523809</v>
      </c>
      <c r="S204" s="4">
        <f t="shared" si="451"/>
        <v>17213.523809523809</v>
      </c>
      <c r="T204" s="4">
        <f t="shared" si="451"/>
        <v>17975.727272727272</v>
      </c>
      <c r="U204" s="4">
        <f t="shared" si="451"/>
        <v>18625.75</v>
      </c>
      <c r="V204" s="4">
        <f t="shared" si="451"/>
        <v>22051.360000000001</v>
      </c>
      <c r="W204" s="4">
        <f t="shared" si="451"/>
        <v>18100.392857142859</v>
      </c>
      <c r="X204" s="4">
        <f t="shared" si="451"/>
        <v>17868.206896551725</v>
      </c>
      <c r="Y204" s="4">
        <f t="shared" si="451"/>
        <v>16584.484848484848</v>
      </c>
      <c r="Z204" s="4">
        <f t="shared" si="451"/>
        <v>17309.454545454544</v>
      </c>
      <c r="AA204" s="4">
        <f t="shared" si="451"/>
        <v>15285.428571428571</v>
      </c>
      <c r="AB204" s="4">
        <f t="shared" si="451"/>
        <v>14963.634146341463</v>
      </c>
      <c r="AC204" s="4">
        <f t="shared" si="451"/>
        <v>14462.714285714286</v>
      </c>
      <c r="AD204" s="4">
        <f t="shared" si="451"/>
        <v>14400.627906976744</v>
      </c>
      <c r="AE204" s="4">
        <f t="shared" si="451"/>
        <v>15781.547619047618</v>
      </c>
      <c r="AF204" s="4">
        <f t="shared" si="451"/>
        <v>13960.404761904761</v>
      </c>
      <c r="AG204" s="4">
        <f t="shared" si="451"/>
        <v>12240.5</v>
      </c>
      <c r="AH204" s="4">
        <f t="shared" si="451"/>
        <v>11653.4</v>
      </c>
      <c r="AI204" s="4">
        <f t="shared" si="451"/>
        <v>11187</v>
      </c>
      <c r="AJ204" s="4">
        <f t="shared" si="451"/>
        <v>10242.717948717949</v>
      </c>
      <c r="AK204" s="4">
        <f t="shared" si="451"/>
        <v>9579</v>
      </c>
      <c r="AL204" s="4">
        <f t="shared" si="451"/>
        <v>8988.375</v>
      </c>
      <c r="AM204" s="4">
        <f t="shared" si="451"/>
        <v>8581.1</v>
      </c>
      <c r="AN204" s="4">
        <f t="shared" si="451"/>
        <v>8040.0769230769229</v>
      </c>
      <c r="AO204" s="4">
        <f t="shared" si="451"/>
        <v>7074.45</v>
      </c>
      <c r="AP204" s="4">
        <f t="shared" si="451"/>
        <v>6645.681818181818</v>
      </c>
      <c r="AQ204" s="4">
        <f t="shared" si="451"/>
        <v>6642.863636363636</v>
      </c>
      <c r="AR204" s="4">
        <f t="shared" ref="AR204" si="453">AR194/AR352</f>
        <v>5981.565217391304</v>
      </c>
      <c r="AS204" s="4">
        <v>6037</v>
      </c>
      <c r="AT204" s="9">
        <f t="shared" ref="AT204" si="454">ROUND(AT194/AT$352,0)</f>
        <v>5303</v>
      </c>
      <c r="AU204" s="9">
        <f t="shared" ref="AU204:AV204" si="455">ROUND(AU194/AU$352,0)</f>
        <v>4673</v>
      </c>
      <c r="AV204" s="9">
        <f t="shared" si="455"/>
        <v>4357</v>
      </c>
      <c r="AW204" s="9">
        <f t="shared" ref="AW204:AX208" si="456">ROUND(AW194/AW$352,0)</f>
        <v>3887</v>
      </c>
      <c r="AX204" s="9">
        <f t="shared" si="456"/>
        <v>3489</v>
      </c>
      <c r="AY204" s="9">
        <f t="shared" ref="AY204" si="457">ROUND(AY194/AY$352,0)</f>
        <v>3471</v>
      </c>
    </row>
    <row r="205" spans="1:51">
      <c r="A205" s="16"/>
      <c r="C205" s="3" t="s">
        <v>11</v>
      </c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AG205" s="4">
        <f t="shared" ref="AG205:AQ205" si="458">AG195/AG352</f>
        <v>2103.0526315789475</v>
      </c>
      <c r="AH205" s="4">
        <f t="shared" si="458"/>
        <v>2005.95</v>
      </c>
      <c r="AI205" s="4">
        <f t="shared" si="458"/>
        <v>3265.65</v>
      </c>
      <c r="AJ205" s="4">
        <f t="shared" si="458"/>
        <v>4273.7435897435898</v>
      </c>
      <c r="AK205" s="4">
        <f t="shared" si="458"/>
        <v>5518.8974358974356</v>
      </c>
      <c r="AL205" s="4">
        <f t="shared" si="458"/>
        <v>5299.0749999999998</v>
      </c>
      <c r="AM205" s="4">
        <f t="shared" si="458"/>
        <v>5779.5</v>
      </c>
      <c r="AN205" s="4">
        <f t="shared" si="458"/>
        <v>6213.2564102564102</v>
      </c>
      <c r="AO205" s="4">
        <f t="shared" si="458"/>
        <v>6662.9250000000002</v>
      </c>
      <c r="AP205" s="4">
        <f t="shared" si="458"/>
        <v>6985.409090909091</v>
      </c>
      <c r="AQ205" s="4">
        <f t="shared" si="458"/>
        <v>7330.454545454545</v>
      </c>
      <c r="AR205" s="4">
        <f t="shared" ref="AR205" si="459">AR195/AR352</f>
        <v>8419.95652173913</v>
      </c>
      <c r="AS205" s="4">
        <v>8937</v>
      </c>
      <c r="AT205" s="9">
        <f t="shared" ref="AT205" si="460">ROUND(AT195/AT$352,0)</f>
        <v>9303</v>
      </c>
      <c r="AU205" s="9">
        <f t="shared" ref="AU205:AV205" si="461">ROUND(AU195/AU$352,0)</f>
        <v>9585</v>
      </c>
      <c r="AV205" s="9">
        <f t="shared" si="461"/>
        <v>10000</v>
      </c>
      <c r="AW205" s="9">
        <f t="shared" si="456"/>
        <v>9919</v>
      </c>
      <c r="AX205" s="9">
        <f t="shared" si="456"/>
        <v>10211</v>
      </c>
      <c r="AY205" s="9">
        <f t="shared" ref="AY205" si="462">ROUND(AY195/AY$352,0)</f>
        <v>10871</v>
      </c>
    </row>
    <row r="206" spans="1:51">
      <c r="A206" s="16"/>
      <c r="C206" s="3" t="s">
        <v>26</v>
      </c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AM206" s="4">
        <f t="shared" ref="AM206:AQ206" si="463">AM196/AM352</f>
        <v>242.95</v>
      </c>
      <c r="AN206" s="4">
        <f t="shared" si="463"/>
        <v>249.38461538461539</v>
      </c>
      <c r="AO206" s="4">
        <f t="shared" si="463"/>
        <v>187.07499999999999</v>
      </c>
      <c r="AP206" s="4">
        <f t="shared" si="463"/>
        <v>206.97727272727272</v>
      </c>
      <c r="AQ206" s="4">
        <f t="shared" si="463"/>
        <v>220.88636363636363</v>
      </c>
      <c r="AR206" s="4">
        <f t="shared" ref="AR206" si="464">AR196/AR352</f>
        <v>240.36956521739131</v>
      </c>
      <c r="AS206" s="4">
        <v>322</v>
      </c>
      <c r="AT206" s="9">
        <f t="shared" ref="AT206" si="465">ROUND(AT196/AT$352,0)</f>
        <v>355</v>
      </c>
      <c r="AU206" s="9">
        <f t="shared" ref="AU206:AV206" si="466">ROUND(AU196/AU$352,0)</f>
        <v>348</v>
      </c>
      <c r="AV206" s="9">
        <f t="shared" si="466"/>
        <v>511</v>
      </c>
      <c r="AW206" s="9">
        <f t="shared" si="456"/>
        <v>1706</v>
      </c>
      <c r="AX206" s="9">
        <f t="shared" si="456"/>
        <v>2639</v>
      </c>
      <c r="AY206" s="9">
        <f t="shared" ref="AY206" si="467">ROUND(AY196/AY$352,0)</f>
        <v>860</v>
      </c>
    </row>
    <row r="207" spans="1:51">
      <c r="A207" s="16"/>
      <c r="C207" s="3" t="s">
        <v>24</v>
      </c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AM207" s="4">
        <f t="shared" ref="AM207:AQ207" si="468">AM197/AM352</f>
        <v>1804</v>
      </c>
      <c r="AN207" s="4">
        <f t="shared" si="468"/>
        <v>2086</v>
      </c>
      <c r="AO207" s="4">
        <f t="shared" si="468"/>
        <v>2116.875</v>
      </c>
      <c r="AP207" s="4">
        <f t="shared" si="468"/>
        <v>2074.159090909091</v>
      </c>
      <c r="AQ207" s="4">
        <f t="shared" si="468"/>
        <v>2371.318181818182</v>
      </c>
      <c r="AR207" s="4">
        <f t="shared" ref="AR207" si="469">AR197/AR352</f>
        <v>2283.8260869565215</v>
      </c>
      <c r="AS207" s="4">
        <v>2448</v>
      </c>
      <c r="AT207" s="9">
        <f t="shared" ref="AT207" si="470">ROUND(AT197/AT$352,0)</f>
        <v>2442</v>
      </c>
      <c r="AU207" s="9">
        <f t="shared" ref="AU207:AV207" si="471">ROUND(AU197/AU$352,0)</f>
        <v>2445</v>
      </c>
      <c r="AV207" s="9">
        <f t="shared" si="471"/>
        <v>2473</v>
      </c>
      <c r="AW207" s="9">
        <f t="shared" si="456"/>
        <v>2524</v>
      </c>
      <c r="AX207" s="9">
        <f t="shared" si="456"/>
        <v>2835</v>
      </c>
      <c r="AY207" s="9">
        <f t="shared" ref="AY207" si="472">ROUND(AY197/AY$352,0)</f>
        <v>3131</v>
      </c>
    </row>
    <row r="208" spans="1:51">
      <c r="A208" s="16"/>
      <c r="C208" s="3" t="s">
        <v>10</v>
      </c>
      <c r="D208" s="4">
        <f t="shared" ref="D208:AQ208" si="473">D198/D352</f>
        <v>480.66666666666669</v>
      </c>
      <c r="E208" s="4">
        <f t="shared" ref="E208" si="474">E198/E352</f>
        <v>241.16666666666666</v>
      </c>
      <c r="F208" s="4">
        <f t="shared" si="473"/>
        <v>295.66666666666669</v>
      </c>
      <c r="G208" s="4">
        <f t="shared" si="473"/>
        <v>487.05555555555554</v>
      </c>
      <c r="H208" s="4">
        <f t="shared" si="473"/>
        <v>890.47058823529414</v>
      </c>
      <c r="I208" s="4">
        <f t="shared" si="473"/>
        <v>506.61111111111109</v>
      </c>
      <c r="J208" s="4">
        <f t="shared" si="473"/>
        <v>382.88888888888891</v>
      </c>
      <c r="K208" s="4">
        <f t="shared" si="473"/>
        <v>648.61111111111109</v>
      </c>
      <c r="L208" s="4">
        <f t="shared" si="473"/>
        <v>602.11111111111109</v>
      </c>
      <c r="M208" s="4">
        <f t="shared" si="473"/>
        <v>400.72222222222223</v>
      </c>
      <c r="N208" s="4">
        <f t="shared" si="473"/>
        <v>358.7</v>
      </c>
      <c r="O208" s="4">
        <f t="shared" si="473"/>
        <v>287.25</v>
      </c>
      <c r="P208" s="4">
        <f t="shared" si="473"/>
        <v>494.61904761904759</v>
      </c>
      <c r="Q208" s="4">
        <f t="shared" si="473"/>
        <v>1048.75</v>
      </c>
      <c r="R208" s="4">
        <f t="shared" si="473"/>
        <v>696.47619047619048</v>
      </c>
      <c r="S208" s="4">
        <f t="shared" si="473"/>
        <v>1007.0952380952381</v>
      </c>
      <c r="T208" s="4">
        <f t="shared" si="473"/>
        <v>1566.2727272727273</v>
      </c>
      <c r="U208" s="4">
        <f t="shared" si="473"/>
        <v>2602.7916666666665</v>
      </c>
      <c r="V208" s="4">
        <f t="shared" si="473"/>
        <v>2366.6799999999998</v>
      </c>
      <c r="W208" s="4">
        <f t="shared" si="473"/>
        <v>3519.3214285714284</v>
      </c>
      <c r="X208" s="4">
        <f t="shared" si="473"/>
        <v>2995.3793103448274</v>
      </c>
      <c r="Y208" s="4">
        <f t="shared" si="473"/>
        <v>3590.2727272727275</v>
      </c>
      <c r="Z208" s="4">
        <f t="shared" si="473"/>
        <v>3521.2727272727275</v>
      </c>
      <c r="AA208" s="4">
        <f t="shared" si="473"/>
        <v>3093.2</v>
      </c>
      <c r="AB208" s="4">
        <f t="shared" si="473"/>
        <v>3612.9756097560976</v>
      </c>
      <c r="AC208" s="4">
        <f t="shared" si="473"/>
        <v>2382.9285714285716</v>
      </c>
      <c r="AD208" s="4">
        <f t="shared" si="473"/>
        <v>2628.3720930232557</v>
      </c>
      <c r="AE208" s="4">
        <f t="shared" si="473"/>
        <v>3682.0476190476193</v>
      </c>
      <c r="AF208" s="4">
        <f t="shared" si="473"/>
        <v>2189.7857142857142</v>
      </c>
      <c r="AG208" s="4">
        <f t="shared" si="473"/>
        <v>2610.7105263157896</v>
      </c>
      <c r="AH208" s="4">
        <f t="shared" si="473"/>
        <v>2261.0749999999998</v>
      </c>
      <c r="AI208" s="4">
        <f t="shared" si="473"/>
        <v>2360.3249999999998</v>
      </c>
      <c r="AJ208" s="4">
        <f t="shared" si="473"/>
        <v>2277.4358974358975</v>
      </c>
      <c r="AK208" s="4">
        <f t="shared" si="473"/>
        <v>2232.6410256410259</v>
      </c>
      <c r="AL208" s="4">
        <f t="shared" si="473"/>
        <v>2159.65</v>
      </c>
      <c r="AM208" s="4">
        <f t="shared" si="473"/>
        <v>1216.2750000000001</v>
      </c>
      <c r="AN208" s="4">
        <f t="shared" si="473"/>
        <v>699.56410256410254</v>
      </c>
      <c r="AO208" s="4">
        <f t="shared" si="473"/>
        <v>787.85</v>
      </c>
      <c r="AP208" s="4">
        <f t="shared" si="473"/>
        <v>729</v>
      </c>
      <c r="AQ208" s="4">
        <f t="shared" si="473"/>
        <v>741.88636363636363</v>
      </c>
      <c r="AR208" s="4">
        <f t="shared" ref="AR208" si="475">AR198/AR352</f>
        <v>1153.891304347826</v>
      </c>
      <c r="AS208" s="4">
        <v>957</v>
      </c>
      <c r="AT208" s="9">
        <f t="shared" ref="AT208" si="476">ROUND(AT198/AT$352,0)</f>
        <v>729</v>
      </c>
      <c r="AU208" s="9">
        <f t="shared" ref="AU208:AV208" si="477">ROUND(AU198/AU$352,0)</f>
        <v>884</v>
      </c>
      <c r="AV208" s="9">
        <f t="shared" si="477"/>
        <v>800</v>
      </c>
      <c r="AW208" s="9">
        <f t="shared" si="456"/>
        <v>637</v>
      </c>
      <c r="AX208" s="9">
        <f t="shared" si="456"/>
        <v>776</v>
      </c>
      <c r="AY208" s="9">
        <f t="shared" ref="AY208" si="478">ROUND(AY198/AY$352,0)</f>
        <v>694</v>
      </c>
    </row>
    <row r="209" spans="1:51">
      <c r="A209" s="16"/>
      <c r="C209" s="3" t="s">
        <v>17</v>
      </c>
      <c r="D209" s="4">
        <f t="shared" ref="D209:AQ209" si="479">D199/D352</f>
        <v>16015</v>
      </c>
      <c r="E209" s="4">
        <f t="shared" ref="E209" si="480">E199/E352</f>
        <v>17749.722222222223</v>
      </c>
      <c r="F209" s="4">
        <f t="shared" si="479"/>
        <v>21918.888888888891</v>
      </c>
      <c r="G209" s="4">
        <f t="shared" si="479"/>
        <v>22626.555555555555</v>
      </c>
      <c r="H209" s="4">
        <f t="shared" si="479"/>
        <v>26554.294117647059</v>
      </c>
      <c r="I209" s="4">
        <f t="shared" si="479"/>
        <v>30879.777777777777</v>
      </c>
      <c r="J209" s="4">
        <f t="shared" si="479"/>
        <v>33441.277777777781</v>
      </c>
      <c r="K209" s="4">
        <f t="shared" si="479"/>
        <v>35966.555555555555</v>
      </c>
      <c r="L209" s="4">
        <f t="shared" si="479"/>
        <v>35559.944444444445</v>
      </c>
      <c r="M209" s="4">
        <f t="shared" si="479"/>
        <v>35285.722222222219</v>
      </c>
      <c r="N209" s="4">
        <f t="shared" si="479"/>
        <v>36459.550000000003</v>
      </c>
      <c r="O209" s="4">
        <f t="shared" si="479"/>
        <v>34011.599999999999</v>
      </c>
      <c r="P209" s="4">
        <f t="shared" si="479"/>
        <v>31503.523809523809</v>
      </c>
      <c r="Q209" s="4">
        <f t="shared" si="479"/>
        <v>36997.949999999997</v>
      </c>
      <c r="R209" s="4">
        <f t="shared" si="479"/>
        <v>35162.761904761908</v>
      </c>
      <c r="S209" s="4">
        <f t="shared" si="479"/>
        <v>40612.809523809527</v>
      </c>
      <c r="T209" s="4">
        <f t="shared" si="479"/>
        <v>38982.13636363636</v>
      </c>
      <c r="U209" s="4">
        <f t="shared" si="479"/>
        <v>56757.791666666664</v>
      </c>
      <c r="V209" s="4">
        <f t="shared" si="479"/>
        <v>48930</v>
      </c>
      <c r="W209" s="4">
        <f t="shared" si="479"/>
        <v>54613.785714285717</v>
      </c>
      <c r="X209" s="4">
        <f t="shared" si="479"/>
        <v>49233.620689655174</v>
      </c>
      <c r="Y209" s="4">
        <f t="shared" si="479"/>
        <v>49134.21212121212</v>
      </c>
      <c r="Z209" s="4">
        <f t="shared" si="479"/>
        <v>49413.181818181816</v>
      </c>
      <c r="AA209" s="4">
        <f t="shared" si="479"/>
        <v>38225.828571428574</v>
      </c>
      <c r="AB209" s="4">
        <f t="shared" si="479"/>
        <v>51590.024390243903</v>
      </c>
      <c r="AC209" s="4">
        <f t="shared" si="479"/>
        <v>37270.071428571428</v>
      </c>
      <c r="AD209" s="4">
        <f t="shared" si="479"/>
        <v>35433.069767441862</v>
      </c>
      <c r="AE209" s="4">
        <f t="shared" si="479"/>
        <v>36185.333333333336</v>
      </c>
      <c r="AF209" s="4">
        <f t="shared" si="479"/>
        <v>30873.547619047618</v>
      </c>
      <c r="AG209" s="4">
        <f t="shared" si="479"/>
        <v>31460.684210526317</v>
      </c>
      <c r="AH209" s="4">
        <f t="shared" si="479"/>
        <v>26950.424999999999</v>
      </c>
      <c r="AI209" s="4">
        <f t="shared" si="479"/>
        <v>27568.65</v>
      </c>
      <c r="AJ209" s="4">
        <f t="shared" si="479"/>
        <v>26454.333333333332</v>
      </c>
      <c r="AK209" s="4">
        <f t="shared" si="479"/>
        <v>25995.23076923077</v>
      </c>
      <c r="AL209" s="4">
        <f t="shared" si="479"/>
        <v>25586.799999999999</v>
      </c>
      <c r="AM209" s="4">
        <f t="shared" si="479"/>
        <v>25351.924999999999</v>
      </c>
      <c r="AN209" s="4">
        <f t="shared" si="479"/>
        <v>25523.76923076923</v>
      </c>
      <c r="AO209" s="4">
        <f t="shared" si="479"/>
        <v>23989.275000000001</v>
      </c>
      <c r="AP209" s="4">
        <f t="shared" si="479"/>
        <v>23133.227272727272</v>
      </c>
      <c r="AQ209" s="4">
        <f t="shared" si="479"/>
        <v>24000.295454545456</v>
      </c>
      <c r="AR209" s="4">
        <f t="shared" ref="AR209" si="481">AR199/AR352</f>
        <v>23879.82608695652</v>
      </c>
      <c r="AS209" s="4">
        <v>24662</v>
      </c>
      <c r="AT209" s="9">
        <f t="shared" ref="AT209:AY209" si="482">SUM(AT203:AT208)</f>
        <v>23691</v>
      </c>
      <c r="AU209" s="9">
        <f t="shared" si="482"/>
        <v>23199</v>
      </c>
      <c r="AV209" s="9">
        <f t="shared" si="482"/>
        <v>23614</v>
      </c>
      <c r="AW209" s="9">
        <f t="shared" si="482"/>
        <v>25283</v>
      </c>
      <c r="AX209" s="9">
        <f t="shared" si="482"/>
        <v>24795</v>
      </c>
      <c r="AY209" s="9">
        <f t="shared" si="482"/>
        <v>23442</v>
      </c>
    </row>
    <row r="210" spans="1:51">
      <c r="A210" s="16"/>
      <c r="C210" s="10" t="s">
        <v>12</v>
      </c>
      <c r="D210" s="8">
        <f t="shared" ref="D210:AQ210" si="483">D209/D335*100</f>
        <v>1.4709904577231208</v>
      </c>
      <c r="E210" s="8">
        <f t="shared" ref="E210" si="484">E209/E335*100</f>
        <v>1.4224433462446018</v>
      </c>
      <c r="F210" s="8">
        <f t="shared" si="483"/>
        <v>1.4813952615176662</v>
      </c>
      <c r="G210" s="8">
        <f t="shared" si="483"/>
        <v>1.2893848735239182</v>
      </c>
      <c r="H210" s="8">
        <f t="shared" si="483"/>
        <v>1.2303486080843795</v>
      </c>
      <c r="I210" s="8">
        <f t="shared" si="483"/>
        <v>1.3525080171910688</v>
      </c>
      <c r="J210" s="8">
        <f t="shared" si="483"/>
        <v>1.57920128241188</v>
      </c>
      <c r="K210" s="8">
        <f t="shared" si="483"/>
        <v>1.6294039408542158</v>
      </c>
      <c r="L210" s="8">
        <f t="shared" si="483"/>
        <v>1.616233649048334</v>
      </c>
      <c r="M210" s="8">
        <f t="shared" si="483"/>
        <v>1.3525977691505964</v>
      </c>
      <c r="N210" s="8">
        <f t="shared" si="483"/>
        <v>1.4668392966591761</v>
      </c>
      <c r="O210" s="8">
        <f t="shared" si="483"/>
        <v>1.4129207161945541</v>
      </c>
      <c r="P210" s="8">
        <f t="shared" si="483"/>
        <v>1.0931566875158367</v>
      </c>
      <c r="Q210" s="8">
        <f t="shared" si="483"/>
        <v>1.321548208785039</v>
      </c>
      <c r="R210" s="8">
        <f t="shared" si="483"/>
        <v>0.72822066773209415</v>
      </c>
      <c r="S210" s="8">
        <f t="shared" si="483"/>
        <v>1.8747486945304588</v>
      </c>
      <c r="T210" s="8">
        <f t="shared" si="483"/>
        <v>0.98948400307254414</v>
      </c>
      <c r="U210" s="8">
        <f t="shared" si="483"/>
        <v>2.9394025230810144</v>
      </c>
      <c r="V210" s="8">
        <f t="shared" si="483"/>
        <v>2.2838184503517471</v>
      </c>
      <c r="W210" s="8">
        <f t="shared" si="483"/>
        <v>2.5271132550088513</v>
      </c>
      <c r="X210" s="8">
        <f t="shared" si="483"/>
        <v>2.0163536231563133</v>
      </c>
      <c r="Y210" s="8">
        <f t="shared" si="483"/>
        <v>2.5192168809309257</v>
      </c>
      <c r="Z210" s="8">
        <f t="shared" si="483"/>
        <v>2.3349976719974332</v>
      </c>
      <c r="AA210" s="8">
        <f t="shared" si="483"/>
        <v>0.97697429839431071</v>
      </c>
      <c r="AB210" s="8">
        <f t="shared" si="483"/>
        <v>2.5117296683393633</v>
      </c>
      <c r="AC210" s="8">
        <f t="shared" si="483"/>
        <v>2.1729131309907466</v>
      </c>
      <c r="AD210" s="8">
        <f t="shared" si="483"/>
        <v>2.0210323073320193</v>
      </c>
      <c r="AE210" s="8">
        <f t="shared" si="483"/>
        <v>2.1433108781618455</v>
      </c>
      <c r="AF210" s="8">
        <f t="shared" si="483"/>
        <v>1.8699207110552434</v>
      </c>
      <c r="AG210" s="8">
        <f t="shared" si="483"/>
        <v>1.6757823348113037</v>
      </c>
      <c r="AH210" s="8">
        <f t="shared" si="483"/>
        <v>1.6630321194624449</v>
      </c>
      <c r="AI210" s="8">
        <f t="shared" si="483"/>
        <v>1.6314767698983303</v>
      </c>
      <c r="AJ210" s="8">
        <f t="shared" si="483"/>
        <v>1.6107154615735748</v>
      </c>
      <c r="AK210" s="8">
        <f t="shared" si="483"/>
        <v>1.5644195479501009</v>
      </c>
      <c r="AL210" s="8">
        <f t="shared" si="483"/>
        <v>1.486179452590936</v>
      </c>
      <c r="AM210" s="8">
        <f t="shared" si="483"/>
        <v>1.527788643989707</v>
      </c>
      <c r="AN210" s="8">
        <f t="shared" si="483"/>
        <v>1.5346974914081086</v>
      </c>
      <c r="AO210" s="8">
        <f t="shared" si="483"/>
        <v>1.4706815012378407</v>
      </c>
      <c r="AP210" s="8">
        <f t="shared" si="483"/>
        <v>1.508430625109489</v>
      </c>
      <c r="AQ210" s="8">
        <f t="shared" si="483"/>
        <v>1.377869745391725</v>
      </c>
      <c r="AR210" s="8">
        <f t="shared" ref="AR210:AT210" si="485">AR209/AR335*100</f>
        <v>1.3522295768890751</v>
      </c>
      <c r="AS210" s="8">
        <f t="shared" si="485"/>
        <v>1.3521144836634358</v>
      </c>
      <c r="AT210" s="40">
        <f t="shared" si="485"/>
        <v>1.2831497019064129</v>
      </c>
      <c r="AU210" s="40">
        <f t="shared" ref="AU210:AV210" si="486">AU209/AU335*100</f>
        <v>1.3227477334496074</v>
      </c>
      <c r="AV210" s="40">
        <f t="shared" si="486"/>
        <v>1.3525640242073209</v>
      </c>
      <c r="AW210" s="40">
        <f>AW209/AW335*100</f>
        <v>1.5737350428847805</v>
      </c>
      <c r="AX210" s="40">
        <f>AX209/AX335*100</f>
        <v>1.4880411258360513</v>
      </c>
      <c r="AY210" s="40">
        <f>AY209/AY335*100</f>
        <v>0.16384509846369971</v>
      </c>
    </row>
    <row r="211" spans="1:51">
      <c r="A211" s="16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</row>
    <row r="212" spans="1:51" s="22" customFormat="1">
      <c r="A212" s="25" t="s">
        <v>7</v>
      </c>
      <c r="B212" s="22" t="s">
        <v>1</v>
      </c>
      <c r="C212" s="22" t="s">
        <v>8</v>
      </c>
      <c r="D212" s="23">
        <v>7509995</v>
      </c>
      <c r="E212" s="23">
        <v>8894024</v>
      </c>
      <c r="F212" s="23">
        <v>10237979</v>
      </c>
      <c r="G212" s="23">
        <v>11968425</v>
      </c>
      <c r="H212" s="23">
        <v>13003398</v>
      </c>
      <c r="I212" s="23">
        <v>14671491</v>
      </c>
      <c r="J212" s="23">
        <v>15962855</v>
      </c>
      <c r="K212" s="23">
        <v>16511420</v>
      </c>
      <c r="L212" s="23">
        <f>8692585+8342138</f>
        <v>17034723</v>
      </c>
      <c r="M212" s="23">
        <f>9311676+8924046</f>
        <v>18235722</v>
      </c>
      <c r="N212" s="23">
        <f>9696316+10572974</f>
        <v>20269290</v>
      </c>
      <c r="O212" s="23">
        <f>10385984+9621340</f>
        <v>20007324</v>
      </c>
      <c r="P212" s="23">
        <f>10696757+10012747</f>
        <v>20709504</v>
      </c>
      <c r="Q212" s="23">
        <f>11471495+10499667</f>
        <v>21971162</v>
      </c>
      <c r="R212" s="23">
        <f>11667370+11554129</f>
        <v>23221499</v>
      </c>
      <c r="S212" s="23">
        <f>11914196+12099776</f>
        <v>24013972</v>
      </c>
      <c r="T212" s="23">
        <f>12579171+11699782</f>
        <v>24278953</v>
      </c>
      <c r="U212" s="23">
        <f>13249120+12489757</f>
        <v>25738877</v>
      </c>
      <c r="V212" s="23">
        <f>14157548+12009313</f>
        <v>26166861</v>
      </c>
      <c r="W212" s="23">
        <f>14410678+11236848</f>
        <v>25647526</v>
      </c>
      <c r="X212" s="23">
        <f>14924902+10825486</f>
        <v>25750388</v>
      </c>
      <c r="Y212" s="23">
        <f>14749578+10284300</f>
        <v>25033878</v>
      </c>
      <c r="Z212" s="23">
        <f>14579111+10392811</f>
        <v>24971922</v>
      </c>
      <c r="AA212" s="23">
        <f>14102361+10465362</f>
        <v>24567723</v>
      </c>
      <c r="AB212" s="23">
        <f>16649018+10650557</f>
        <v>27299575</v>
      </c>
      <c r="AC212" s="23">
        <f>15307805+9876175</f>
        <v>25183980</v>
      </c>
      <c r="AD212" s="23">
        <v>23756547</v>
      </c>
      <c r="AE212" s="23">
        <v>22507581</v>
      </c>
      <c r="AF212" s="23">
        <v>23625734</v>
      </c>
      <c r="AG212" s="23">
        <v>22200248</v>
      </c>
      <c r="AH212" s="23">
        <v>21802192</v>
      </c>
      <c r="AI212" s="23">
        <v>21141408</v>
      </c>
      <c r="AJ212" s="23">
        <v>19819604</v>
      </c>
      <c r="AK212" s="23">
        <v>18837511</v>
      </c>
      <c r="AL212" s="23">
        <v>18054561</v>
      </c>
      <c r="AM212" s="23">
        <v>17171437</v>
      </c>
      <c r="AN212" s="23">
        <v>16246277</v>
      </c>
      <c r="AO212" s="23">
        <v>15749316</v>
      </c>
      <c r="AP212" s="23">
        <v>15043740</v>
      </c>
      <c r="AQ212" s="23">
        <v>14155094</v>
      </c>
      <c r="AR212" s="23">
        <v>14282912</v>
      </c>
      <c r="AS212" s="23">
        <v>12538682</v>
      </c>
      <c r="AT212" s="23">
        <v>12232350</v>
      </c>
      <c r="AU212" s="23">
        <v>11667817</v>
      </c>
      <c r="AV212" s="39">
        <v>10701658</v>
      </c>
      <c r="AW212" s="39">
        <v>9807926</v>
      </c>
      <c r="AX212" s="39">
        <v>9173969</v>
      </c>
      <c r="AY212" s="39">
        <v>8708527</v>
      </c>
    </row>
    <row r="213" spans="1:51">
      <c r="A213" s="18"/>
      <c r="B213" s="3" t="s">
        <v>21</v>
      </c>
      <c r="C213" s="3" t="s">
        <v>9</v>
      </c>
      <c r="D213" s="4">
        <v>3217932</v>
      </c>
      <c r="E213" s="4">
        <v>3807595</v>
      </c>
      <c r="F213" s="4">
        <v>3992397</v>
      </c>
      <c r="G213" s="4">
        <v>4503898</v>
      </c>
      <c r="H213" s="4">
        <v>4925169</v>
      </c>
      <c r="I213" s="4">
        <v>5654724</v>
      </c>
      <c r="J213" s="4">
        <v>6589502</v>
      </c>
      <c r="K213" s="4">
        <f>1714113+6102109</f>
        <v>7816222</v>
      </c>
      <c r="L213" s="4">
        <f>1913268+6666993</f>
        <v>8580261</v>
      </c>
      <c r="M213" s="4">
        <f>1954750+6686926</f>
        <v>8641676</v>
      </c>
      <c r="N213" s="4">
        <f>2107295+7064388</f>
        <v>9171683</v>
      </c>
      <c r="O213" s="4">
        <f>2227611+7368638</f>
        <v>9596249</v>
      </c>
      <c r="P213" s="4">
        <f>2239915+7581960</f>
        <v>9821875</v>
      </c>
      <c r="Q213" s="4">
        <f>2601954+8041588</f>
        <v>10643542</v>
      </c>
      <c r="R213" s="4">
        <f>2680255+8497889</f>
        <v>11178144</v>
      </c>
      <c r="S213" s="4">
        <f>2863184+9661512</f>
        <v>12524696</v>
      </c>
      <c r="T213" s="4">
        <f>3179152+10192140</f>
        <v>13371292</v>
      </c>
      <c r="U213" s="4">
        <f>3204706+10708744</f>
        <v>13913450</v>
      </c>
      <c r="V213" s="4">
        <f>3446842+10975895</f>
        <v>14422737</v>
      </c>
      <c r="W213" s="4">
        <f>3454795+10590140</f>
        <v>14044935</v>
      </c>
      <c r="X213" s="4">
        <f>3535208+11237404</f>
        <v>14772612</v>
      </c>
      <c r="Y213" s="4">
        <f>3537882+12199612</f>
        <v>15737494</v>
      </c>
      <c r="Z213" s="4">
        <f>3543934+13485826</f>
        <v>17029760</v>
      </c>
      <c r="AA213" s="4">
        <f>3615705+15108580</f>
        <v>18724285</v>
      </c>
      <c r="AB213" s="4">
        <f>3915526+15392073</f>
        <v>19307599</v>
      </c>
      <c r="AC213" s="4">
        <f>3780999+14639613</f>
        <v>18420612</v>
      </c>
      <c r="AD213" s="4">
        <v>18928496</v>
      </c>
      <c r="AE213" s="4">
        <v>19456793</v>
      </c>
      <c r="AF213" s="4">
        <v>20432918</v>
      </c>
      <c r="AG213" s="4">
        <v>27495578</v>
      </c>
      <c r="AH213" s="4">
        <v>18537707</v>
      </c>
      <c r="AI213" s="4">
        <v>18175760</v>
      </c>
      <c r="AJ213" s="4">
        <v>17018879</v>
      </c>
      <c r="AK213" s="4">
        <v>15397262</v>
      </c>
      <c r="AL213" s="4">
        <v>13266185</v>
      </c>
      <c r="AM213" s="4">
        <v>11533979</v>
      </c>
      <c r="AN213" s="4">
        <v>10770456</v>
      </c>
      <c r="AO213" s="4">
        <v>9970884</v>
      </c>
      <c r="AP213" s="4">
        <v>9979596</v>
      </c>
      <c r="AQ213" s="4">
        <v>10196348</v>
      </c>
      <c r="AR213" s="4">
        <v>10031728</v>
      </c>
      <c r="AS213" s="4">
        <v>9263796</v>
      </c>
      <c r="AT213" s="4">
        <v>8761725</v>
      </c>
      <c r="AU213" s="4">
        <v>8356098</v>
      </c>
      <c r="AV213" s="4">
        <v>7925419</v>
      </c>
      <c r="AW213" s="4">
        <v>7453692</v>
      </c>
      <c r="AX213" s="4">
        <v>7203101</v>
      </c>
      <c r="AY213" s="4">
        <v>7100155</v>
      </c>
    </row>
    <row r="214" spans="1:51">
      <c r="A214" s="18"/>
      <c r="C214" s="3" t="s">
        <v>11</v>
      </c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AG214" s="4">
        <v>2882693</v>
      </c>
      <c r="AH214" s="4">
        <v>4165488</v>
      </c>
      <c r="AI214" s="4">
        <v>5633131</v>
      </c>
      <c r="AJ214" s="4">
        <v>7396747</v>
      </c>
      <c r="AK214" s="4">
        <v>9274218</v>
      </c>
      <c r="AL214" s="4">
        <v>10569714</v>
      </c>
      <c r="AM214" s="4">
        <v>10999594</v>
      </c>
      <c r="AN214" s="4">
        <v>11925879</v>
      </c>
      <c r="AO214" s="4">
        <v>12368415</v>
      </c>
      <c r="AP214" s="4">
        <v>13397983</v>
      </c>
      <c r="AQ214" s="4">
        <v>15132664</v>
      </c>
      <c r="AR214" s="4">
        <v>15928220</v>
      </c>
      <c r="AS214" s="4">
        <v>15960813</v>
      </c>
      <c r="AT214" s="4">
        <v>15748083</v>
      </c>
      <c r="AU214" s="4">
        <v>16795661</v>
      </c>
      <c r="AV214" s="4">
        <v>17535589</v>
      </c>
      <c r="AW214" s="4">
        <v>17555936</v>
      </c>
      <c r="AX214" s="4">
        <v>17619176</v>
      </c>
      <c r="AY214" s="4">
        <v>19290784</v>
      </c>
    </row>
    <row r="215" spans="1:51">
      <c r="A215" s="18"/>
      <c r="C215" s="3" t="s">
        <v>26</v>
      </c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AM215" s="4">
        <v>374388</v>
      </c>
      <c r="AN215" s="4">
        <v>487961</v>
      </c>
      <c r="AO215" s="4">
        <v>689521</v>
      </c>
      <c r="AP215" s="4">
        <v>558447</v>
      </c>
      <c r="AQ215" s="4">
        <v>634530</v>
      </c>
      <c r="AR215" s="4">
        <v>630596</v>
      </c>
      <c r="AS215" s="4">
        <v>868302</v>
      </c>
      <c r="AT215" s="4">
        <v>1091385</v>
      </c>
      <c r="AU215" s="4">
        <v>1112077</v>
      </c>
      <c r="AV215" s="4">
        <v>1146747</v>
      </c>
      <c r="AW215" s="4">
        <v>1919522</v>
      </c>
      <c r="AX215" s="4">
        <v>1800514</v>
      </c>
      <c r="AY215" s="4">
        <v>1628545</v>
      </c>
    </row>
    <row r="216" spans="1:51">
      <c r="A216" s="18"/>
      <c r="C216" s="3" t="s">
        <v>24</v>
      </c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AM216" s="4">
        <v>3641243</v>
      </c>
      <c r="AN216" s="4">
        <v>4032004</v>
      </c>
      <c r="AO216" s="4">
        <v>4238619</v>
      </c>
      <c r="AP216" s="4">
        <v>4733263</v>
      </c>
      <c r="AQ216" s="4">
        <v>4957104</v>
      </c>
      <c r="AR216" s="4">
        <v>5153217</v>
      </c>
      <c r="AS216" s="4">
        <v>5296853</v>
      </c>
      <c r="AT216" s="4">
        <v>5475288</v>
      </c>
      <c r="AU216" s="4">
        <v>5743548</v>
      </c>
      <c r="AV216" s="4">
        <v>6190399</v>
      </c>
      <c r="AW216" s="4">
        <v>6315562</v>
      </c>
      <c r="AX216" s="4">
        <v>6617704</v>
      </c>
      <c r="AY216" s="4">
        <v>6970565</v>
      </c>
    </row>
    <row r="217" spans="1:51">
      <c r="A217" s="18"/>
      <c r="C217" s="3" t="s">
        <v>10</v>
      </c>
      <c r="D217" s="4">
        <v>315480</v>
      </c>
      <c r="E217" s="4">
        <v>373759</v>
      </c>
      <c r="F217" s="4">
        <v>485843</v>
      </c>
      <c r="G217" s="4">
        <v>528709</v>
      </c>
      <c r="H217" s="4">
        <v>728267</v>
      </c>
      <c r="I217" s="4">
        <v>852041</v>
      </c>
      <c r="J217" s="4">
        <v>936517</v>
      </c>
      <c r="K217" s="4">
        <v>1138708</v>
      </c>
      <c r="L217" s="4">
        <v>1472978</v>
      </c>
      <c r="M217" s="4">
        <v>1720689</v>
      </c>
      <c r="N217" s="4">
        <v>1723082</v>
      </c>
      <c r="O217" s="4">
        <v>1869698</v>
      </c>
      <c r="P217" s="4">
        <v>2323406</v>
      </c>
      <c r="Q217" s="4">
        <v>2223199</v>
      </c>
      <c r="R217" s="4">
        <v>2333924</v>
      </c>
      <c r="S217" s="4">
        <v>2805662</v>
      </c>
      <c r="T217" s="4">
        <v>2863160</v>
      </c>
      <c r="U217" s="4">
        <v>3272688</v>
      </c>
      <c r="V217" s="4">
        <v>3694605</v>
      </c>
      <c r="W217" s="4">
        <v>4392900</v>
      </c>
      <c r="X217" s="4">
        <v>4286154</v>
      </c>
      <c r="Y217" s="4">
        <v>4339222</v>
      </c>
      <c r="Z217" s="4">
        <v>4201987</v>
      </c>
      <c r="AA217" s="4">
        <v>5029068</v>
      </c>
      <c r="AB217" s="4">
        <v>5349969</v>
      </c>
      <c r="AC217" s="4">
        <v>5185628</v>
      </c>
      <c r="AD217" s="4">
        <v>4923343</v>
      </c>
      <c r="AE217" s="4">
        <v>5180835</v>
      </c>
      <c r="AF217" s="4">
        <v>5357020</v>
      </c>
      <c r="AG217" s="4">
        <v>4141798</v>
      </c>
      <c r="AH217" s="4">
        <v>4473524</v>
      </c>
      <c r="AI217" s="4">
        <v>4840487</v>
      </c>
      <c r="AJ217" s="4">
        <v>5168695</v>
      </c>
      <c r="AK217" s="4">
        <v>5244660</v>
      </c>
      <c r="AL217" s="4">
        <v>5547050</v>
      </c>
      <c r="AM217" s="4">
        <v>2913518</v>
      </c>
      <c r="AN217" s="4">
        <v>2632560</v>
      </c>
      <c r="AO217" s="4">
        <v>2570958</v>
      </c>
      <c r="AP217" s="4">
        <v>2374971</v>
      </c>
      <c r="AQ217" s="4">
        <v>2203588</v>
      </c>
      <c r="AR217" s="4">
        <v>2109422</v>
      </c>
      <c r="AS217" s="4">
        <v>2082071</v>
      </c>
      <c r="AT217" s="4">
        <v>2142306</v>
      </c>
      <c r="AU217" s="4">
        <v>1914866</v>
      </c>
      <c r="AV217" s="4">
        <v>1970734</v>
      </c>
      <c r="AW217" s="4">
        <v>1703145</v>
      </c>
      <c r="AX217" s="4">
        <v>1770410</v>
      </c>
      <c r="AY217" s="4">
        <v>1637920</v>
      </c>
    </row>
    <row r="218" spans="1:51">
      <c r="A218" s="18"/>
      <c r="C218" s="3" t="s">
        <v>17</v>
      </c>
      <c r="D218" s="4">
        <v>11043407</v>
      </c>
      <c r="E218" s="4">
        <v>13075378</v>
      </c>
      <c r="F218" s="4">
        <v>14716219</v>
      </c>
      <c r="G218" s="4">
        <v>17001032</v>
      </c>
      <c r="H218" s="4">
        <v>18656834</v>
      </c>
      <c r="I218" s="4">
        <v>21178256</v>
      </c>
      <c r="J218" s="4">
        <v>23488874</v>
      </c>
      <c r="K218" s="4">
        <v>25466350</v>
      </c>
      <c r="L218" s="4">
        <v>27087962</v>
      </c>
      <c r="M218" s="4">
        <v>28598087</v>
      </c>
      <c r="N218" s="4">
        <v>31164055</v>
      </c>
      <c r="O218" s="4">
        <v>31473271</v>
      </c>
      <c r="P218" s="4">
        <v>32854785</v>
      </c>
      <c r="Q218" s="4">
        <v>34837903</v>
      </c>
      <c r="R218" s="4">
        <v>36733567</v>
      </c>
      <c r="S218" s="4">
        <v>39344330</v>
      </c>
      <c r="T218" s="4">
        <v>40513405</v>
      </c>
      <c r="U218" s="4">
        <v>42925015</v>
      </c>
      <c r="V218" s="4">
        <v>44284203</v>
      </c>
      <c r="W218" s="4">
        <v>44085361</v>
      </c>
      <c r="X218" s="4">
        <v>44809154</v>
      </c>
      <c r="Y218" s="4">
        <v>45110594</v>
      </c>
      <c r="Z218" s="4">
        <v>46203669</v>
      </c>
      <c r="AA218" s="4">
        <v>48321076</v>
      </c>
      <c r="AB218" s="4">
        <v>51957143</v>
      </c>
      <c r="AC218" s="4">
        <v>48790220</v>
      </c>
      <c r="AD218" s="4">
        <v>47608386</v>
      </c>
      <c r="AE218" s="4">
        <v>47145209</v>
      </c>
      <c r="AF218" s="4">
        <v>49415672</v>
      </c>
      <c r="AG218" s="4">
        <v>56720317</v>
      </c>
      <c r="AH218" s="4">
        <v>48978911</v>
      </c>
      <c r="AI218" s="4">
        <v>49790786</v>
      </c>
      <c r="AJ218" s="4">
        <v>49403925</v>
      </c>
      <c r="AK218" s="4">
        <v>48753651</v>
      </c>
      <c r="AL218" s="4">
        <v>47437510</v>
      </c>
      <c r="AM218" s="4">
        <v>46634189</v>
      </c>
      <c r="AN218" s="4">
        <v>46095137</v>
      </c>
      <c r="AO218" s="4">
        <v>45587713</v>
      </c>
      <c r="AP218" s="4">
        <v>46088000</v>
      </c>
      <c r="AQ218" s="4">
        <v>47279328</v>
      </c>
      <c r="AR218" s="4">
        <v>48136095</v>
      </c>
      <c r="AS218" s="4">
        <v>46010517</v>
      </c>
      <c r="AT218" s="9">
        <f t="shared" ref="AT218:AY218" si="487">SUM(AT212:AT217)</f>
        <v>45451137</v>
      </c>
      <c r="AU218" s="9">
        <f t="shared" si="487"/>
        <v>45590067</v>
      </c>
      <c r="AV218" s="9">
        <f t="shared" si="487"/>
        <v>45470546</v>
      </c>
      <c r="AW218" s="9">
        <f t="shared" si="487"/>
        <v>44755783</v>
      </c>
      <c r="AX218" s="9">
        <f t="shared" si="487"/>
        <v>44184874</v>
      </c>
      <c r="AY218" s="9">
        <f t="shared" si="487"/>
        <v>45336496</v>
      </c>
    </row>
    <row r="219" spans="1:51">
      <c r="A219" s="18"/>
      <c r="C219" s="10" t="s">
        <v>12</v>
      </c>
      <c r="D219" s="8">
        <f t="shared" ref="D219:AQ219" si="488">D218/D318*100</f>
        <v>1.9027431365589584</v>
      </c>
      <c r="E219" s="8">
        <f t="shared" ref="E219" si="489">E218/E318*100</f>
        <v>1.6824065889243587</v>
      </c>
      <c r="F219" s="8">
        <f t="shared" si="488"/>
        <v>1.7779395490218821</v>
      </c>
      <c r="G219" s="8">
        <f t="shared" si="488"/>
        <v>1.6902961020161027</v>
      </c>
      <c r="H219" s="8">
        <f t="shared" si="488"/>
        <v>1.8425133542101162</v>
      </c>
      <c r="I219" s="8">
        <f t="shared" si="488"/>
        <v>1.9750191779849644</v>
      </c>
      <c r="J219" s="8">
        <f t="shared" si="488"/>
        <v>1.8915192898029385</v>
      </c>
      <c r="K219" s="8">
        <f t="shared" si="488"/>
        <v>1.8597780887722439</v>
      </c>
      <c r="L219" s="8">
        <f t="shared" si="488"/>
        <v>1.9352331163699492</v>
      </c>
      <c r="M219" s="8">
        <f t="shared" si="488"/>
        <v>1.7862710124846304</v>
      </c>
      <c r="N219" s="8">
        <f t="shared" si="488"/>
        <v>1.8355304902960274</v>
      </c>
      <c r="O219" s="8">
        <f t="shared" si="488"/>
        <v>1.792002905186743</v>
      </c>
      <c r="P219" s="8">
        <f t="shared" si="488"/>
        <v>1.7508402297545442</v>
      </c>
      <c r="Q219" s="8">
        <f t="shared" si="488"/>
        <v>1.764563522654192</v>
      </c>
      <c r="R219" s="8">
        <f t="shared" si="488"/>
        <v>1.7252876202355039</v>
      </c>
      <c r="S219" s="8">
        <f t="shared" si="488"/>
        <v>1.8062588866799325</v>
      </c>
      <c r="T219" s="8">
        <f t="shared" si="488"/>
        <v>1.7713234578602157</v>
      </c>
      <c r="U219" s="8">
        <f t="shared" si="488"/>
        <v>1.7597711457555749</v>
      </c>
      <c r="V219" s="8">
        <f t="shared" si="488"/>
        <v>1.7240556497322628</v>
      </c>
      <c r="W219" s="8">
        <f t="shared" si="488"/>
        <v>1.626865685158067</v>
      </c>
      <c r="X219" s="8">
        <f t="shared" si="488"/>
        <v>1.7016396366569184</v>
      </c>
      <c r="Y219" s="8">
        <f t="shared" si="488"/>
        <v>1.6767405630438512</v>
      </c>
      <c r="Z219" s="8">
        <f t="shared" si="488"/>
        <v>1.6577228212964854</v>
      </c>
      <c r="AA219" s="8">
        <f t="shared" si="488"/>
        <v>1.7026754754725679</v>
      </c>
      <c r="AB219" s="8">
        <f t="shared" si="488"/>
        <v>1.7836758206114338</v>
      </c>
      <c r="AC219" s="8">
        <f t="shared" si="488"/>
        <v>1.6726817090193913</v>
      </c>
      <c r="AD219" s="8">
        <f t="shared" si="488"/>
        <v>1.5266412503845443</v>
      </c>
      <c r="AE219" s="8">
        <f t="shared" si="488"/>
        <v>1.5448826486061924</v>
      </c>
      <c r="AF219" s="8">
        <f t="shared" si="488"/>
        <v>1.5866931732109377</v>
      </c>
      <c r="AG219" s="8">
        <f t="shared" si="488"/>
        <v>1.683949616650374</v>
      </c>
      <c r="AH219" s="8">
        <f t="shared" si="488"/>
        <v>1.4171427120906157</v>
      </c>
      <c r="AI219" s="8">
        <f t="shared" si="488"/>
        <v>1.3384204125843984</v>
      </c>
      <c r="AJ219" s="8">
        <f t="shared" si="488"/>
        <v>1.2807163871932778</v>
      </c>
      <c r="AK219" s="8">
        <f t="shared" si="488"/>
        <v>1.2953766940185534</v>
      </c>
      <c r="AL219" s="8">
        <f t="shared" si="488"/>
        <v>1.2568195078354927</v>
      </c>
      <c r="AM219" s="8">
        <f t="shared" si="488"/>
        <v>1.2448050018585286</v>
      </c>
      <c r="AN219" s="8">
        <f t="shared" si="488"/>
        <v>1.2113918779116815</v>
      </c>
      <c r="AO219" s="8">
        <f t="shared" si="488"/>
        <v>1.1718617480350637</v>
      </c>
      <c r="AP219" s="8">
        <f t="shared" si="488"/>
        <v>1.1630889959059134</v>
      </c>
      <c r="AQ219" s="8">
        <f t="shared" si="488"/>
        <v>1.1872653622962857</v>
      </c>
      <c r="AR219" s="8">
        <f t="shared" ref="AR219:AW219" si="490">AR218/AR318*100</f>
        <v>1.1578318754699894</v>
      </c>
      <c r="AS219" s="8">
        <f t="shared" si="490"/>
        <v>1.1351105493797784</v>
      </c>
      <c r="AT219" s="40">
        <f t="shared" si="490"/>
        <v>1.1421708791401723</v>
      </c>
      <c r="AU219" s="40">
        <f t="shared" ref="AU219:AV219" si="491">AU218/AU318*100</f>
        <v>1.1430233143416499</v>
      </c>
      <c r="AV219" s="40">
        <f t="shared" si="491"/>
        <v>1.1234859556494763</v>
      </c>
      <c r="AW219" s="40">
        <f t="shared" si="490"/>
        <v>1.06442498211286</v>
      </c>
      <c r="AX219" s="40">
        <f t="shared" ref="AX219:AY219" si="492">AX218/AX318*100</f>
        <v>1.0949843569533568</v>
      </c>
      <c r="AY219" s="40">
        <f t="shared" si="492"/>
        <v>0.70140371107136512</v>
      </c>
    </row>
    <row r="220" spans="1:51">
      <c r="A220" s="18"/>
      <c r="C220" s="10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4"/>
      <c r="AR220" s="4"/>
      <c r="AS220" s="4"/>
      <c r="AT220" s="4"/>
      <c r="AU220" s="4"/>
      <c r="AV220" s="4"/>
      <c r="AW220" s="4"/>
      <c r="AX220" s="4"/>
      <c r="AY220" s="4"/>
    </row>
    <row r="221" spans="1:51" s="2" customFormat="1">
      <c r="A221" s="19"/>
      <c r="C221" s="3"/>
      <c r="D221" s="1">
        <f t="shared" ref="D221:AQ221" si="493">D2</f>
        <v>1975</v>
      </c>
      <c r="E221" s="1">
        <f t="shared" ref="E221" si="494">E2</f>
        <v>76</v>
      </c>
      <c r="F221" s="1">
        <f t="shared" si="493"/>
        <v>77</v>
      </c>
      <c r="G221" s="1">
        <f t="shared" si="493"/>
        <v>78</v>
      </c>
      <c r="H221" s="1">
        <f t="shared" si="493"/>
        <v>79</v>
      </c>
      <c r="I221" s="1">
        <f t="shared" si="493"/>
        <v>80</v>
      </c>
      <c r="J221" s="1">
        <f t="shared" si="493"/>
        <v>81</v>
      </c>
      <c r="K221" s="1">
        <f t="shared" si="493"/>
        <v>82</v>
      </c>
      <c r="L221" s="1">
        <f t="shared" si="493"/>
        <v>83</v>
      </c>
      <c r="M221" s="1">
        <f t="shared" si="493"/>
        <v>84</v>
      </c>
      <c r="N221" s="1">
        <f t="shared" si="493"/>
        <v>85</v>
      </c>
      <c r="O221" s="1">
        <f t="shared" si="493"/>
        <v>86</v>
      </c>
      <c r="P221" s="1">
        <f t="shared" si="493"/>
        <v>87</v>
      </c>
      <c r="Q221" s="1">
        <f t="shared" si="493"/>
        <v>88</v>
      </c>
      <c r="R221" s="1">
        <f t="shared" si="493"/>
        <v>89</v>
      </c>
      <c r="S221" s="1" t="str">
        <f t="shared" si="493"/>
        <v>90</v>
      </c>
      <c r="T221" s="1" t="str">
        <f t="shared" si="493"/>
        <v>91</v>
      </c>
      <c r="U221" s="1" t="str">
        <f t="shared" si="493"/>
        <v>92</v>
      </c>
      <c r="V221" s="1" t="str">
        <f t="shared" si="493"/>
        <v>93</v>
      </c>
      <c r="W221" s="1" t="str">
        <f t="shared" si="493"/>
        <v>94</v>
      </c>
      <c r="X221" s="1" t="str">
        <f t="shared" si="493"/>
        <v>95</v>
      </c>
      <c r="Y221" s="1" t="str">
        <f t="shared" si="493"/>
        <v>96</v>
      </c>
      <c r="Z221" s="1" t="str">
        <f t="shared" si="493"/>
        <v>97</v>
      </c>
      <c r="AA221" s="1" t="str">
        <f t="shared" si="493"/>
        <v>98</v>
      </c>
      <c r="AB221" s="1" t="str">
        <f t="shared" si="493"/>
        <v>99</v>
      </c>
      <c r="AC221" s="1" t="str">
        <f t="shared" si="493"/>
        <v>2000</v>
      </c>
      <c r="AD221" s="1" t="str">
        <f t="shared" si="493"/>
        <v>01</v>
      </c>
      <c r="AE221" s="1" t="str">
        <f t="shared" si="493"/>
        <v>02</v>
      </c>
      <c r="AF221" s="1" t="str">
        <f t="shared" si="493"/>
        <v>03</v>
      </c>
      <c r="AG221" s="1" t="str">
        <f t="shared" si="493"/>
        <v>04</v>
      </c>
      <c r="AH221" s="1" t="str">
        <f t="shared" si="493"/>
        <v>05</v>
      </c>
      <c r="AI221" s="1" t="str">
        <f t="shared" si="493"/>
        <v>06</v>
      </c>
      <c r="AJ221" s="1" t="str">
        <f t="shared" si="493"/>
        <v>07</v>
      </c>
      <c r="AK221" s="1" t="str">
        <f t="shared" si="493"/>
        <v>08</v>
      </c>
      <c r="AL221" s="1" t="str">
        <f t="shared" si="493"/>
        <v>09</v>
      </c>
      <c r="AM221" s="1" t="str">
        <f t="shared" si="493"/>
        <v>10</v>
      </c>
      <c r="AN221" s="1" t="str">
        <f t="shared" si="493"/>
        <v>11</v>
      </c>
      <c r="AO221" s="1" t="str">
        <f t="shared" si="493"/>
        <v>12</v>
      </c>
      <c r="AP221" s="1" t="str">
        <f t="shared" si="493"/>
        <v>13</v>
      </c>
      <c r="AQ221" s="1" t="str">
        <f t="shared" si="493"/>
        <v>14</v>
      </c>
      <c r="AR221" s="1" t="str">
        <f t="shared" ref="AR221:AS221" si="495">AR2</f>
        <v>15</v>
      </c>
      <c r="AS221" s="1" t="str">
        <f t="shared" si="495"/>
        <v>16</v>
      </c>
      <c r="AT221" s="1" t="str">
        <f t="shared" ref="AT221" si="496">AT2</f>
        <v>17</v>
      </c>
      <c r="AU221" s="1">
        <v>18</v>
      </c>
      <c r="AV221" s="1">
        <v>19</v>
      </c>
      <c r="AW221" s="1">
        <v>20</v>
      </c>
      <c r="AX221" s="1">
        <v>21</v>
      </c>
      <c r="AY221" s="1">
        <v>22</v>
      </c>
    </row>
    <row r="222" spans="1:51">
      <c r="A222" s="18" t="s">
        <v>7</v>
      </c>
      <c r="B222" s="3" t="s">
        <v>20</v>
      </c>
      <c r="C222" s="3" t="s">
        <v>8</v>
      </c>
      <c r="D222" s="4">
        <v>24785</v>
      </c>
      <c r="E222" s="4">
        <v>28690</v>
      </c>
      <c r="F222" s="4">
        <v>33026</v>
      </c>
      <c r="G222" s="4">
        <v>38360</v>
      </c>
      <c r="H222" s="4">
        <v>40891</v>
      </c>
      <c r="I222" s="4">
        <v>45992</v>
      </c>
      <c r="J222" s="4">
        <v>49268</v>
      </c>
      <c r="K222" s="4">
        <v>50649</v>
      </c>
      <c r="L222" s="4">
        <f>26502+25433</f>
        <v>51935</v>
      </c>
      <c r="M222" s="4">
        <f>28132+26961</f>
        <v>55093</v>
      </c>
      <c r="N222" s="4">
        <f>29031+31656</f>
        <v>60687</v>
      </c>
      <c r="O222" s="4">
        <f>30368+28133</f>
        <v>58501</v>
      </c>
      <c r="P222" s="4">
        <f>29963+28047</f>
        <v>58010</v>
      </c>
      <c r="Q222" s="4">
        <f>31515+28845</f>
        <v>60360</v>
      </c>
      <c r="R222" s="4">
        <f>31364+31059</f>
        <v>62423</v>
      </c>
      <c r="S222" s="4">
        <f>31519+32010</f>
        <v>63529</v>
      </c>
      <c r="T222" s="4">
        <f>32758+30468</f>
        <v>63226</v>
      </c>
      <c r="U222" s="4">
        <f>33972+32025</f>
        <v>65997</v>
      </c>
      <c r="V222" s="4">
        <f>34871+29580</f>
        <v>64451</v>
      </c>
      <c r="W222" s="4">
        <f>34725+27077</f>
        <v>61802</v>
      </c>
      <c r="X222" s="4">
        <f>35117+25472</f>
        <v>60589</v>
      </c>
      <c r="Y222" s="4">
        <f>34222+23861</f>
        <v>58083</v>
      </c>
      <c r="Z222" s="4">
        <f>32836+23407</f>
        <v>56243</v>
      </c>
      <c r="AA222" s="4">
        <f>30859+22900</f>
        <v>53759</v>
      </c>
      <c r="AB222" s="4">
        <f>34758+22235</f>
        <v>56993</v>
      </c>
      <c r="AC222" s="4">
        <f>30800+19872</f>
        <v>50672</v>
      </c>
      <c r="AD222" s="4">
        <v>46400</v>
      </c>
      <c r="AE222" s="4">
        <v>42790</v>
      </c>
      <c r="AF222" s="4">
        <v>43430</v>
      </c>
      <c r="AG222" s="4">
        <v>39929</v>
      </c>
      <c r="AH222" s="4">
        <v>38182</v>
      </c>
      <c r="AI222" s="4">
        <v>36201</v>
      </c>
      <c r="AJ222" s="4">
        <v>33536</v>
      </c>
      <c r="AK222" s="4">
        <v>31554</v>
      </c>
      <c r="AL222" s="4">
        <v>30192</v>
      </c>
      <c r="AM222" s="4">
        <v>28524</v>
      </c>
      <c r="AN222" s="4">
        <v>26633</v>
      </c>
      <c r="AO222" s="4">
        <v>26032</v>
      </c>
      <c r="AP222" s="4">
        <v>24784</v>
      </c>
      <c r="AQ222" s="4">
        <v>23320</v>
      </c>
      <c r="AR222" s="4">
        <v>23320</v>
      </c>
      <c r="AS222" s="4">
        <v>20623</v>
      </c>
      <c r="AT222" s="9">
        <f t="shared" ref="AT222:AY222" si="497">ROUND(AT212/AT$353,0)</f>
        <v>20119</v>
      </c>
      <c r="AU222" s="9">
        <f t="shared" si="497"/>
        <v>19034</v>
      </c>
      <c r="AV222" s="9">
        <f t="shared" si="497"/>
        <v>17233</v>
      </c>
      <c r="AW222" s="9">
        <f t="shared" si="497"/>
        <v>15693</v>
      </c>
      <c r="AX222" s="9">
        <f t="shared" si="497"/>
        <v>14655</v>
      </c>
      <c r="AY222" s="9">
        <f t="shared" si="497"/>
        <v>13911</v>
      </c>
    </row>
    <row r="223" spans="1:51">
      <c r="A223" s="18"/>
      <c r="B223" s="3" t="s">
        <v>21</v>
      </c>
      <c r="C223" s="3" t="s">
        <v>9</v>
      </c>
      <c r="D223" s="4">
        <v>10620</v>
      </c>
      <c r="E223" s="4">
        <v>12283</v>
      </c>
      <c r="F223" s="4">
        <v>12879</v>
      </c>
      <c r="G223" s="4">
        <v>14436</v>
      </c>
      <c r="H223" s="4">
        <v>15488</v>
      </c>
      <c r="I223" s="4">
        <v>17726</v>
      </c>
      <c r="J223" s="4">
        <v>20338</v>
      </c>
      <c r="K223" s="4">
        <v>23976</v>
      </c>
      <c r="L223" s="4">
        <f>5833+20326</f>
        <v>26159</v>
      </c>
      <c r="M223" s="4">
        <f>5906+20202</f>
        <v>26108</v>
      </c>
      <c r="N223" s="4">
        <f>6309+21151</f>
        <v>27460</v>
      </c>
      <c r="O223" s="4">
        <f>6513+21546</f>
        <v>28059</v>
      </c>
      <c r="P223" s="4">
        <f>6274+21238</f>
        <v>27512</v>
      </c>
      <c r="Q223" s="4">
        <f>7148+22092</f>
        <v>29240</v>
      </c>
      <c r="R223" s="4">
        <f>7205+22844</f>
        <v>30049</v>
      </c>
      <c r="S223" s="4">
        <f>7575+25560</f>
        <v>33135</v>
      </c>
      <c r="T223" s="4">
        <f>8279+26542</f>
        <v>34821</v>
      </c>
      <c r="U223" s="4">
        <f>8217+27458</f>
        <v>35675</v>
      </c>
      <c r="V223" s="4">
        <f>8490+27034</f>
        <v>35524</v>
      </c>
      <c r="W223" s="4">
        <f>8325+25518</f>
        <v>33843</v>
      </c>
      <c r="X223" s="4">
        <f>8318+26441</f>
        <v>34759</v>
      </c>
      <c r="Y223" s="4">
        <f>8209+28305</f>
        <v>36514</v>
      </c>
      <c r="Z223" s="4">
        <f>7982+30373</f>
        <v>38355</v>
      </c>
      <c r="AA223" s="4">
        <f>7912+33060</f>
        <v>40972</v>
      </c>
      <c r="AB223" s="4">
        <f>8174+32134</f>
        <v>40308</v>
      </c>
      <c r="AC223" s="4">
        <f>7608+29456</f>
        <v>37064</v>
      </c>
      <c r="AD223" s="4">
        <v>36970</v>
      </c>
      <c r="AE223" s="4">
        <v>36990</v>
      </c>
      <c r="AF223" s="4">
        <v>37561</v>
      </c>
      <c r="AG223" s="4">
        <v>49452</v>
      </c>
      <c r="AH223" s="4">
        <v>32465</v>
      </c>
      <c r="AI223" s="4">
        <v>31123</v>
      </c>
      <c r="AJ223" s="4">
        <v>28797</v>
      </c>
      <c r="AK223" s="4">
        <v>25791</v>
      </c>
      <c r="AL223" s="4">
        <v>22184</v>
      </c>
      <c r="AM223" s="4">
        <v>19159</v>
      </c>
      <c r="AN223" s="4">
        <v>17656</v>
      </c>
      <c r="AO223" s="4">
        <v>16481</v>
      </c>
      <c r="AP223" s="4">
        <v>16441</v>
      </c>
      <c r="AQ223" s="4">
        <v>16798</v>
      </c>
      <c r="AR223" s="4">
        <v>16798</v>
      </c>
      <c r="AS223" s="4">
        <v>15237</v>
      </c>
      <c r="AT223" s="9">
        <f t="shared" ref="AT223" si="498">ROUND(AT213/AT$353,0)</f>
        <v>14411</v>
      </c>
      <c r="AU223" s="9">
        <f t="shared" ref="AU223:AV223" si="499">ROUND(AU213/AU$353,0)</f>
        <v>13631</v>
      </c>
      <c r="AV223" s="9">
        <f t="shared" si="499"/>
        <v>12762</v>
      </c>
      <c r="AW223" s="9">
        <f t="shared" ref="AW223:AX227" si="500">ROUND(AW213/AW$353,0)</f>
        <v>11926</v>
      </c>
      <c r="AX223" s="9">
        <f t="shared" si="500"/>
        <v>11507</v>
      </c>
      <c r="AY223" s="9">
        <f t="shared" ref="AY223" si="501">ROUND(AY213/AY$353,0)</f>
        <v>11342</v>
      </c>
    </row>
    <row r="224" spans="1:51">
      <c r="A224" s="18"/>
      <c r="C224" s="3" t="s">
        <v>11</v>
      </c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AG224" s="4">
        <v>5185</v>
      </c>
      <c r="AH224" s="4">
        <v>7295</v>
      </c>
      <c r="AI224" s="4">
        <v>9646</v>
      </c>
      <c r="AJ224" s="4">
        <v>12516</v>
      </c>
      <c r="AK224" s="4">
        <v>15535</v>
      </c>
      <c r="AL224" s="4">
        <v>17675</v>
      </c>
      <c r="AM224" s="4">
        <v>18272</v>
      </c>
      <c r="AN224" s="4">
        <v>19551</v>
      </c>
      <c r="AO224" s="4">
        <v>20444</v>
      </c>
      <c r="AP224" s="4">
        <v>22072</v>
      </c>
      <c r="AQ224" s="4">
        <v>24930</v>
      </c>
      <c r="AR224" s="4">
        <v>24930</v>
      </c>
      <c r="AS224" s="4">
        <v>26251</v>
      </c>
      <c r="AT224" s="9">
        <f t="shared" ref="AT224" si="502">ROUND(AT214/AT$353,0)</f>
        <v>25901</v>
      </c>
      <c r="AU224" s="9">
        <f t="shared" ref="AU224:AV224" si="503">ROUND(AU214/AU$353,0)</f>
        <v>27399</v>
      </c>
      <c r="AV224" s="9">
        <f t="shared" si="503"/>
        <v>28238</v>
      </c>
      <c r="AW224" s="9">
        <f t="shared" si="500"/>
        <v>28089</v>
      </c>
      <c r="AX224" s="9">
        <f t="shared" si="500"/>
        <v>28146</v>
      </c>
      <c r="AY224" s="9">
        <f t="shared" ref="AY224" si="504">ROUND(AY214/AY$353,0)</f>
        <v>30816</v>
      </c>
    </row>
    <row r="225" spans="1:51">
      <c r="A225" s="18"/>
      <c r="C225" s="3" t="s">
        <v>26</v>
      </c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AM225" s="4">
        <v>622</v>
      </c>
      <c r="AN225" s="4">
        <v>800</v>
      </c>
      <c r="AO225" s="4">
        <v>1140</v>
      </c>
      <c r="AP225" s="4">
        <v>920</v>
      </c>
      <c r="AQ225" s="4">
        <v>1045</v>
      </c>
      <c r="AR225" s="4">
        <v>1045</v>
      </c>
      <c r="AS225" s="4">
        <v>1428</v>
      </c>
      <c r="AT225" s="9">
        <f t="shared" ref="AT225" si="505">ROUND(AT215/AT$353,0)</f>
        <v>1795</v>
      </c>
      <c r="AU225" s="9">
        <f t="shared" ref="AU225:AV225" si="506">ROUND(AU215/AU$353,0)</f>
        <v>1814</v>
      </c>
      <c r="AV225" s="9">
        <f t="shared" si="506"/>
        <v>1847</v>
      </c>
      <c r="AW225" s="9">
        <f t="shared" si="500"/>
        <v>3071</v>
      </c>
      <c r="AX225" s="9">
        <f t="shared" si="500"/>
        <v>2876</v>
      </c>
      <c r="AY225" s="9">
        <f t="shared" ref="AY225" si="507">ROUND(AY215/AY$353,0)</f>
        <v>2602</v>
      </c>
    </row>
    <row r="226" spans="1:51">
      <c r="A226" s="18"/>
      <c r="C226" s="3" t="s">
        <v>24</v>
      </c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AM226" s="4">
        <v>6049</v>
      </c>
      <c r="AN226" s="4">
        <v>6610</v>
      </c>
      <c r="AO226" s="4">
        <v>7006</v>
      </c>
      <c r="AP226" s="4">
        <v>7798</v>
      </c>
      <c r="AQ226" s="4">
        <v>8167</v>
      </c>
      <c r="AR226" s="4">
        <v>8167</v>
      </c>
      <c r="AS226" s="4">
        <v>8712</v>
      </c>
      <c r="AT226" s="9">
        <f t="shared" ref="AT226" si="508">ROUND(AT216/AT$353,0)</f>
        <v>9005</v>
      </c>
      <c r="AU226" s="9">
        <f t="shared" ref="AU226:AV226" si="509">ROUND(AU216/AU$353,0)</f>
        <v>9370</v>
      </c>
      <c r="AV226" s="9">
        <f t="shared" si="509"/>
        <v>9968</v>
      </c>
      <c r="AW226" s="9">
        <f t="shared" si="500"/>
        <v>10105</v>
      </c>
      <c r="AX226" s="9">
        <f t="shared" si="500"/>
        <v>10571</v>
      </c>
      <c r="AY226" s="9">
        <f t="shared" ref="AY226" si="510">ROUND(AY216/AY$353,0)</f>
        <v>11135</v>
      </c>
    </row>
    <row r="227" spans="1:51">
      <c r="A227" s="18"/>
      <c r="C227" s="3" t="s">
        <v>10</v>
      </c>
      <c r="D227" s="4">
        <v>1041</v>
      </c>
      <c r="E227" s="4">
        <v>1206</v>
      </c>
      <c r="F227" s="4">
        <v>1567</v>
      </c>
      <c r="G227" s="4">
        <v>1695</v>
      </c>
      <c r="H227" s="4">
        <v>2290</v>
      </c>
      <c r="I227" s="4">
        <v>2671</v>
      </c>
      <c r="J227" s="4">
        <v>2890</v>
      </c>
      <c r="K227" s="4">
        <v>3493</v>
      </c>
      <c r="L227" s="4">
        <v>4491</v>
      </c>
      <c r="M227" s="4">
        <v>5198</v>
      </c>
      <c r="N227" s="4">
        <v>5159</v>
      </c>
      <c r="O227" s="4">
        <v>5467</v>
      </c>
      <c r="P227" s="4">
        <v>6508</v>
      </c>
      <c r="Q227" s="4">
        <v>6108</v>
      </c>
      <c r="R227" s="4">
        <v>6274</v>
      </c>
      <c r="S227" s="4">
        <v>7422</v>
      </c>
      <c r="T227" s="4">
        <v>7456</v>
      </c>
      <c r="U227" s="4">
        <v>8392</v>
      </c>
      <c r="V227" s="4">
        <v>9100</v>
      </c>
      <c r="W227" s="4">
        <v>10585</v>
      </c>
      <c r="X227" s="4">
        <v>10085</v>
      </c>
      <c r="Y227" s="4">
        <v>10068</v>
      </c>
      <c r="Z227" s="4">
        <v>9464</v>
      </c>
      <c r="AA227" s="4">
        <v>11005</v>
      </c>
      <c r="AB227" s="4">
        <v>11169</v>
      </c>
      <c r="AC227" s="4">
        <v>10434</v>
      </c>
      <c r="AD227" s="4">
        <v>9616</v>
      </c>
      <c r="AE227" s="4">
        <v>9849</v>
      </c>
      <c r="AF227" s="4">
        <v>9847</v>
      </c>
      <c r="AG227" s="4">
        <v>7449</v>
      </c>
      <c r="AH227" s="4">
        <v>7835</v>
      </c>
      <c r="AI227" s="4">
        <v>8289</v>
      </c>
      <c r="AJ227" s="4">
        <v>8746</v>
      </c>
      <c r="AK227" s="4">
        <v>8785</v>
      </c>
      <c r="AL227" s="4">
        <v>9276</v>
      </c>
      <c r="AM227" s="4">
        <v>4840</v>
      </c>
      <c r="AN227" s="4">
        <v>4316</v>
      </c>
      <c r="AO227" s="4">
        <v>4250</v>
      </c>
      <c r="AP227" s="4">
        <v>3913</v>
      </c>
      <c r="AQ227" s="4">
        <v>3630</v>
      </c>
      <c r="AR227" s="4">
        <v>3630</v>
      </c>
      <c r="AS227" s="4">
        <v>3424</v>
      </c>
      <c r="AT227" s="9">
        <f t="shared" ref="AT227" si="511">ROUND(AT217/AT$353,0)</f>
        <v>3524</v>
      </c>
      <c r="AU227" s="9">
        <f t="shared" ref="AU227:AV227" si="512">ROUND(AU217/AU$353,0)</f>
        <v>3124</v>
      </c>
      <c r="AV227" s="9">
        <f t="shared" si="512"/>
        <v>3173</v>
      </c>
      <c r="AW227" s="9">
        <f t="shared" si="500"/>
        <v>2725</v>
      </c>
      <c r="AX227" s="9">
        <f t="shared" si="500"/>
        <v>2828</v>
      </c>
      <c r="AY227" s="9">
        <f t="shared" ref="AY227" si="513">ROUND(AY217/AY$353,0)</f>
        <v>2616</v>
      </c>
    </row>
    <row r="228" spans="1:51">
      <c r="A228" s="18"/>
      <c r="C228" s="3" t="s">
        <v>17</v>
      </c>
      <c r="D228" s="4">
        <v>36447</v>
      </c>
      <c r="E228" s="4">
        <v>42179</v>
      </c>
      <c r="F228" s="4">
        <v>47472</v>
      </c>
      <c r="G228" s="4">
        <v>54490</v>
      </c>
      <c r="H228" s="4">
        <v>58669</v>
      </c>
      <c r="I228" s="4">
        <v>66390</v>
      </c>
      <c r="J228" s="4">
        <v>72497</v>
      </c>
      <c r="K228" s="4">
        <v>78118</v>
      </c>
      <c r="L228" s="4">
        <v>82585</v>
      </c>
      <c r="M228" s="4">
        <v>86399</v>
      </c>
      <c r="N228" s="4">
        <v>93306</v>
      </c>
      <c r="O228" s="4">
        <v>92027</v>
      </c>
      <c r="P228" s="4">
        <v>92030</v>
      </c>
      <c r="Q228" s="4">
        <v>95709</v>
      </c>
      <c r="R228" s="4">
        <v>98746</v>
      </c>
      <c r="S228" s="4">
        <v>104086</v>
      </c>
      <c r="T228" s="4">
        <v>105504</v>
      </c>
      <c r="U228" s="4">
        <v>110064</v>
      </c>
      <c r="V228" s="4">
        <v>109704</v>
      </c>
      <c r="W228" s="4">
        <v>106230</v>
      </c>
      <c r="X228" s="4">
        <v>105433</v>
      </c>
      <c r="Y228" s="4">
        <v>104665</v>
      </c>
      <c r="Z228" s="4">
        <v>104062</v>
      </c>
      <c r="AA228" s="4">
        <v>105735</v>
      </c>
      <c r="AB228" s="4">
        <v>108470</v>
      </c>
      <c r="AC228" s="4">
        <v>98169</v>
      </c>
      <c r="AD228" s="4">
        <v>92985</v>
      </c>
      <c r="AE228" s="4">
        <v>89630</v>
      </c>
      <c r="AF228" s="4">
        <v>90838</v>
      </c>
      <c r="AG228" s="4">
        <v>102015</v>
      </c>
      <c r="AH228" s="4">
        <v>85777</v>
      </c>
      <c r="AI228" s="4">
        <v>85258</v>
      </c>
      <c r="AJ228" s="4">
        <v>83594</v>
      </c>
      <c r="AK228" s="4">
        <v>81664</v>
      </c>
      <c r="AL228" s="4">
        <v>79327</v>
      </c>
      <c r="AM228" s="4">
        <v>77465</v>
      </c>
      <c r="AN228" s="4">
        <v>75566</v>
      </c>
      <c r="AO228" s="4">
        <v>75352</v>
      </c>
      <c r="AP228" s="4">
        <v>75928</v>
      </c>
      <c r="AQ228" s="4">
        <v>77890</v>
      </c>
      <c r="AR228" s="4">
        <v>77890</v>
      </c>
      <c r="AS228" s="4">
        <v>75675</v>
      </c>
      <c r="AT228" s="9">
        <f t="shared" ref="AT228:AY228" si="514">SUM(AT222:AT227)</f>
        <v>74755</v>
      </c>
      <c r="AU228" s="9">
        <f t="shared" si="514"/>
        <v>74372</v>
      </c>
      <c r="AV228" s="9">
        <f t="shared" si="514"/>
        <v>73221</v>
      </c>
      <c r="AW228" s="9">
        <f t="shared" si="514"/>
        <v>71609</v>
      </c>
      <c r="AX228" s="9">
        <f t="shared" si="514"/>
        <v>70583</v>
      </c>
      <c r="AY228" s="9">
        <f t="shared" si="514"/>
        <v>72422</v>
      </c>
    </row>
    <row r="229" spans="1:51">
      <c r="A229" s="18"/>
      <c r="C229" s="10" t="s">
        <v>12</v>
      </c>
      <c r="D229" s="8">
        <f t="shared" ref="D229:AQ229" si="515">D228/D336*100</f>
        <v>1.903237597911227</v>
      </c>
      <c r="E229" s="8">
        <f t="shared" ref="E229" si="516">E228/E336*100</f>
        <v>1.6824491424012762</v>
      </c>
      <c r="F229" s="8">
        <f t="shared" si="515"/>
        <v>1.7779775280898875</v>
      </c>
      <c r="G229" s="8">
        <f t="shared" si="515"/>
        <v>1.6901364764267992</v>
      </c>
      <c r="H229" s="8">
        <f t="shared" si="515"/>
        <v>1.8425041902217794</v>
      </c>
      <c r="I229" s="8">
        <f t="shared" si="515"/>
        <v>1.9750334824549556</v>
      </c>
      <c r="J229" s="8">
        <f t="shared" si="515"/>
        <v>1.8915316926856531</v>
      </c>
      <c r="K229" s="8">
        <f t="shared" si="515"/>
        <v>1.8597867713684542</v>
      </c>
      <c r="L229" s="8">
        <f t="shared" si="515"/>
        <v>1.9352274668496952</v>
      </c>
      <c r="M229" s="8">
        <f t="shared" si="515"/>
        <v>1.7862699171917857</v>
      </c>
      <c r="N229" s="8">
        <f t="shared" si="515"/>
        <v>1.8355391829956196</v>
      </c>
      <c r="O229" s="8">
        <f t="shared" si="515"/>
        <v>1.792000791364623</v>
      </c>
      <c r="P229" s="8">
        <f t="shared" si="515"/>
        <v>1.7508363701393268</v>
      </c>
      <c r="Q229" s="8">
        <f t="shared" si="515"/>
        <v>1.7645721609883331</v>
      </c>
      <c r="R229" s="8">
        <f t="shared" si="515"/>
        <v>1.7252850548444474</v>
      </c>
      <c r="S229" s="8">
        <f t="shared" si="515"/>
        <v>1.8062671496984288</v>
      </c>
      <c r="T229" s="8">
        <f t="shared" si="515"/>
        <v>1.7713292272512449</v>
      </c>
      <c r="U229" s="8">
        <f t="shared" si="515"/>
        <v>1.7597687921159593</v>
      </c>
      <c r="V229" s="8">
        <f t="shared" si="515"/>
        <v>1.7340072901520671</v>
      </c>
      <c r="W229" s="8">
        <f t="shared" si="515"/>
        <v>1.6268688968487321</v>
      </c>
      <c r="X229" s="8">
        <f t="shared" si="515"/>
        <v>1.7016347527099414</v>
      </c>
      <c r="Y229" s="8">
        <f t="shared" si="515"/>
        <v>1.6767414264949976</v>
      </c>
      <c r="Z229" s="8">
        <f t="shared" si="515"/>
        <v>1.6577176696308327</v>
      </c>
      <c r="AA229" s="8">
        <f t="shared" si="515"/>
        <v>1.7026690688307613</v>
      </c>
      <c r="AB229" s="8">
        <f t="shared" si="515"/>
        <v>1.7836752359377916</v>
      </c>
      <c r="AC229" s="8">
        <f t="shared" si="515"/>
        <v>1.6726739508323925</v>
      </c>
      <c r="AD229" s="8">
        <f t="shared" si="515"/>
        <v>1.5266392265093591</v>
      </c>
      <c r="AE229" s="8">
        <f t="shared" si="515"/>
        <v>1.5448882864615525</v>
      </c>
      <c r="AF229" s="8">
        <f t="shared" si="515"/>
        <v>1.5866996566791236</v>
      </c>
      <c r="AG229" s="8">
        <f t="shared" si="515"/>
        <v>1.6839502040003784</v>
      </c>
      <c r="AH229" s="8">
        <f t="shared" si="515"/>
        <v>1.4171357162245908</v>
      </c>
      <c r="AI229" s="8">
        <f t="shared" si="515"/>
        <v>1.3384173244180864</v>
      </c>
      <c r="AJ229" s="8">
        <f t="shared" si="515"/>
        <v>1.2807197548808347</v>
      </c>
      <c r="AK229" s="8">
        <f t="shared" si="515"/>
        <v>1.2953702378916732</v>
      </c>
      <c r="AL229" s="8">
        <f t="shared" si="515"/>
        <v>1.256820445643906</v>
      </c>
      <c r="AM229" s="8">
        <f t="shared" si="515"/>
        <v>1.2447980089659523</v>
      </c>
      <c r="AN229" s="8">
        <f t="shared" si="515"/>
        <v>1.2113950584905382</v>
      </c>
      <c r="AO229" s="8">
        <f t="shared" si="515"/>
        <v>1.1718681352861358</v>
      </c>
      <c r="AP229" s="8">
        <f t="shared" si="515"/>
        <v>1.1630965315894033</v>
      </c>
      <c r="AQ229" s="8">
        <f t="shared" si="515"/>
        <v>1.1872628599057262</v>
      </c>
      <c r="AR229" s="8">
        <f t="shared" ref="AR229:AW229" si="517">AR228/AR336*100</f>
        <v>1.1316008658221235</v>
      </c>
      <c r="AS229" s="8">
        <f t="shared" si="517"/>
        <v>1.1351077463622552</v>
      </c>
      <c r="AT229" s="40">
        <f t="shared" si="517"/>
        <v>1.1421684415647324</v>
      </c>
      <c r="AU229" s="40">
        <f t="shared" ref="AU229:AV229" si="518">AU228/AU336*100</f>
        <v>1.1430225371170246</v>
      </c>
      <c r="AV229" s="40">
        <f t="shared" si="518"/>
        <v>1.1234784197114545</v>
      </c>
      <c r="AW229" s="40">
        <f t="shared" si="517"/>
        <v>1.0644212244052318</v>
      </c>
      <c r="AX229" s="40">
        <f t="shared" ref="AX229:AY229" si="519">AX228/AX336*100</f>
        <v>1.0949864386314891</v>
      </c>
      <c r="AY229" s="40">
        <f t="shared" si="519"/>
        <v>0.70139869844748726</v>
      </c>
    </row>
    <row r="230" spans="1:51">
      <c r="A230" s="18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</row>
    <row r="231" spans="1:51" s="22" customFormat="1">
      <c r="A231" s="25" t="s">
        <v>7</v>
      </c>
      <c r="B231" s="22" t="s">
        <v>3</v>
      </c>
      <c r="C231" s="22" t="s">
        <v>8</v>
      </c>
      <c r="D231" s="23">
        <v>1047395</v>
      </c>
      <c r="E231" s="23">
        <v>1217225</v>
      </c>
      <c r="F231" s="23">
        <v>1304994</v>
      </c>
      <c r="G231" s="23">
        <v>1450052</v>
      </c>
      <c r="H231" s="23">
        <v>1457540</v>
      </c>
      <c r="I231" s="23">
        <v>1747878</v>
      </c>
      <c r="J231" s="23">
        <v>1750218</v>
      </c>
      <c r="K231" s="23">
        <v>1818018</v>
      </c>
      <c r="L231" s="23">
        <f>802493+1020094</f>
        <v>1822587</v>
      </c>
      <c r="M231" s="23">
        <f>835577+1152879</f>
        <v>1988456</v>
      </c>
      <c r="N231" s="23">
        <f>868615+1538230</f>
        <v>2406845</v>
      </c>
      <c r="O231" s="23">
        <f>1132520+1593185</f>
        <v>2725705</v>
      </c>
      <c r="P231" s="23">
        <f>1123026+1701454</f>
        <v>2824480</v>
      </c>
      <c r="Q231" s="23">
        <f>1186754+1619202</f>
        <v>2805956</v>
      </c>
      <c r="R231" s="23">
        <f>1294689+2053209</f>
        <v>3347898</v>
      </c>
      <c r="S231" s="23">
        <f>1424804+2092474</f>
        <v>3517278</v>
      </c>
      <c r="T231" s="23">
        <f>1410479+2013573</f>
        <v>3424052</v>
      </c>
      <c r="U231" s="23">
        <f>1415426+2006231</f>
        <v>3421657</v>
      </c>
      <c r="V231" s="23">
        <f>1734131+2156806</f>
        <v>3890937</v>
      </c>
      <c r="W231" s="23">
        <f>2129574+2450396</f>
        <v>4579970</v>
      </c>
      <c r="X231" s="23">
        <f>1972578+2245811</f>
        <v>4218389</v>
      </c>
      <c r="Y231" s="23">
        <f>2362740+2325173</f>
        <v>4687913</v>
      </c>
      <c r="Z231" s="23">
        <f>1761908+1918087</f>
        <v>3679995</v>
      </c>
      <c r="AA231" s="23">
        <f>1768593+2012527</f>
        <v>3781120</v>
      </c>
      <c r="AB231" s="23">
        <f>2978883+1924370</f>
        <v>4903253</v>
      </c>
      <c r="AC231" s="23">
        <f>2090549+2109508</f>
        <v>4200057</v>
      </c>
      <c r="AD231" s="23">
        <v>3921398</v>
      </c>
      <c r="AE231" s="23">
        <v>3927132</v>
      </c>
      <c r="AF231" s="23">
        <v>4486731</v>
      </c>
      <c r="AG231" s="23">
        <v>5242770</v>
      </c>
      <c r="AH231" s="23">
        <v>5320836</v>
      </c>
      <c r="AI231" s="23">
        <v>5598334</v>
      </c>
      <c r="AJ231" s="23">
        <v>5566836</v>
      </c>
      <c r="AK231" s="23">
        <v>5606274</v>
      </c>
      <c r="AL231" s="23">
        <v>5655209</v>
      </c>
      <c r="AM231" s="23">
        <v>5533243</v>
      </c>
      <c r="AN231" s="23">
        <v>5465031</v>
      </c>
      <c r="AO231" s="23">
        <v>5591110</v>
      </c>
      <c r="AP231" s="23">
        <v>5503264</v>
      </c>
      <c r="AQ231" s="23">
        <v>5126252</v>
      </c>
      <c r="AR231" s="23">
        <v>4941904</v>
      </c>
      <c r="AS231" s="23">
        <v>4718573</v>
      </c>
      <c r="AT231" s="23">
        <v>4711945</v>
      </c>
      <c r="AU231" s="23">
        <v>4429626</v>
      </c>
      <c r="AV231" s="39">
        <v>4203084</v>
      </c>
      <c r="AW231" s="39">
        <v>3724899</v>
      </c>
      <c r="AX231" s="39">
        <v>3682712</v>
      </c>
      <c r="AY231" s="39">
        <v>3600767</v>
      </c>
    </row>
    <row r="232" spans="1:51">
      <c r="A232" s="18"/>
      <c r="B232" s="3" t="s">
        <v>21</v>
      </c>
      <c r="C232" s="3" t="s">
        <v>9</v>
      </c>
      <c r="D232" s="4">
        <v>537527</v>
      </c>
      <c r="E232" s="4">
        <v>694499</v>
      </c>
      <c r="F232" s="4">
        <v>649618</v>
      </c>
      <c r="G232" s="4">
        <v>738822</v>
      </c>
      <c r="H232" s="4">
        <v>776577</v>
      </c>
      <c r="I232" s="4">
        <v>785636</v>
      </c>
      <c r="J232" s="4">
        <v>884349</v>
      </c>
      <c r="K232" s="4">
        <f>204273+931549</f>
        <v>1135822</v>
      </c>
      <c r="L232" s="4">
        <f>226039+956003</f>
        <v>1182042</v>
      </c>
      <c r="M232" s="4">
        <f>210389+1016452</f>
        <v>1226841</v>
      </c>
      <c r="N232" s="4">
        <f>225989+1055127</f>
        <v>1281116</v>
      </c>
      <c r="O232" s="4">
        <f>289701+1295818</f>
        <v>1585519</v>
      </c>
      <c r="P232" s="4">
        <f>259855+1353847</f>
        <v>1613702</v>
      </c>
      <c r="Q232" s="4">
        <f>346946+1420451</f>
        <v>1767397</v>
      </c>
      <c r="R232" s="4">
        <f>382179+1672969</f>
        <v>2055148</v>
      </c>
      <c r="S232" s="4">
        <f>454861+1919531</f>
        <v>2374392</v>
      </c>
      <c r="T232" s="4">
        <f>491195+2029400</f>
        <v>2520595</v>
      </c>
      <c r="U232" s="4">
        <f>450726+2060976</f>
        <v>2511702</v>
      </c>
      <c r="V232" s="4">
        <f>558682+2256473</f>
        <v>2815155</v>
      </c>
      <c r="W232" s="4">
        <f>632854+2451681</f>
        <v>3084535</v>
      </c>
      <c r="X232" s="4">
        <f>616091+2409959</f>
        <v>3026050</v>
      </c>
      <c r="Y232" s="4">
        <f>708262+2987451</f>
        <v>3695713</v>
      </c>
      <c r="Z232" s="4">
        <f>701929+2897127</f>
        <v>3599056</v>
      </c>
      <c r="AA232" s="4">
        <f>712061+3312386</f>
        <v>4024447</v>
      </c>
      <c r="AB232" s="4">
        <f>770167+3403701</f>
        <v>4173868</v>
      </c>
      <c r="AC232" s="4">
        <f>710176+3299618</f>
        <v>4009794</v>
      </c>
      <c r="AD232" s="4">
        <v>4108760</v>
      </c>
      <c r="AE232" s="4">
        <v>4385337</v>
      </c>
      <c r="AF232" s="4">
        <v>4981536</v>
      </c>
      <c r="AG232" s="4">
        <v>5014830</v>
      </c>
      <c r="AH232" s="4">
        <v>5234325</v>
      </c>
      <c r="AI232" s="4">
        <v>5500887</v>
      </c>
      <c r="AJ232" s="4">
        <v>5364417</v>
      </c>
      <c r="AK232" s="4">
        <v>4871656</v>
      </c>
      <c r="AL232" s="4">
        <v>4145895</v>
      </c>
      <c r="AM232" s="4">
        <v>3570210</v>
      </c>
      <c r="AN232" s="4">
        <v>3330015</v>
      </c>
      <c r="AO232" s="4">
        <v>3108300</v>
      </c>
      <c r="AP232" s="4">
        <v>3242793</v>
      </c>
      <c r="AQ232" s="4">
        <v>3483773</v>
      </c>
      <c r="AR232" s="4">
        <v>3503562</v>
      </c>
      <c r="AS232" s="4">
        <v>3352621</v>
      </c>
      <c r="AT232" s="4">
        <v>3198380</v>
      </c>
      <c r="AU232" s="4">
        <v>3253950</v>
      </c>
      <c r="AV232" s="4">
        <v>3087459</v>
      </c>
      <c r="AW232" s="4">
        <v>2871996</v>
      </c>
      <c r="AX232" s="4">
        <v>2905982</v>
      </c>
      <c r="AY232" s="4">
        <v>3165580</v>
      </c>
    </row>
    <row r="233" spans="1:51">
      <c r="A233" s="18"/>
      <c r="C233" s="3" t="s">
        <v>11</v>
      </c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AG233" s="4">
        <v>1074659</v>
      </c>
      <c r="AH233" s="4">
        <v>1529362</v>
      </c>
      <c r="AI233" s="4">
        <v>2056720</v>
      </c>
      <c r="AJ233" s="4">
        <v>2671435</v>
      </c>
      <c r="AK233" s="4">
        <v>3541025</v>
      </c>
      <c r="AL233" s="4">
        <v>4145404</v>
      </c>
      <c r="AM233" s="4">
        <v>4420366</v>
      </c>
      <c r="AN233" s="4">
        <v>4840106</v>
      </c>
      <c r="AO233" s="4">
        <v>4917788</v>
      </c>
      <c r="AP233" s="4">
        <v>5293317</v>
      </c>
      <c r="AQ233" s="4">
        <v>6076183</v>
      </c>
      <c r="AR233" s="4">
        <v>6384186</v>
      </c>
      <c r="AS233" s="4">
        <v>6212122</v>
      </c>
      <c r="AT233" s="4">
        <v>6142731</v>
      </c>
      <c r="AU233" s="4">
        <v>6910331</v>
      </c>
      <c r="AV233" s="4">
        <v>7620505</v>
      </c>
      <c r="AW233" s="4">
        <v>7769380</v>
      </c>
      <c r="AX233" s="4">
        <v>7783265</v>
      </c>
      <c r="AY233" s="4">
        <v>9553841</v>
      </c>
    </row>
    <row r="234" spans="1:51">
      <c r="A234" s="18"/>
      <c r="C234" s="3" t="s">
        <v>26</v>
      </c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AM234" s="4">
        <v>169173</v>
      </c>
      <c r="AN234" s="4">
        <v>163290</v>
      </c>
      <c r="AO234" s="4">
        <v>263835</v>
      </c>
      <c r="AP234" s="4">
        <v>197219</v>
      </c>
      <c r="AQ234" s="4">
        <v>214171</v>
      </c>
      <c r="AR234" s="4">
        <v>246974</v>
      </c>
      <c r="AS234" s="4">
        <v>350580</v>
      </c>
      <c r="AT234" s="4">
        <v>478743</v>
      </c>
      <c r="AU234" s="4">
        <v>554000</v>
      </c>
      <c r="AV234" s="4">
        <v>590174</v>
      </c>
      <c r="AW234" s="4">
        <v>959040</v>
      </c>
      <c r="AX234" s="4">
        <v>867427</v>
      </c>
      <c r="AY234" s="4">
        <v>882011</v>
      </c>
    </row>
    <row r="235" spans="1:51">
      <c r="A235" s="18"/>
      <c r="C235" s="3" t="s">
        <v>24</v>
      </c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AM235" s="4">
        <v>1356611</v>
      </c>
      <c r="AN235" s="4">
        <v>1442410</v>
      </c>
      <c r="AO235" s="4">
        <v>1651931</v>
      </c>
      <c r="AP235" s="4">
        <v>2097353</v>
      </c>
      <c r="AQ235" s="4">
        <v>2082825</v>
      </c>
      <c r="AR235" s="4">
        <v>2171679</v>
      </c>
      <c r="AS235" s="4">
        <v>2289823</v>
      </c>
      <c r="AT235" s="4">
        <v>2344571</v>
      </c>
      <c r="AU235" s="4">
        <v>2598714</v>
      </c>
      <c r="AV235" s="4">
        <v>2724235</v>
      </c>
      <c r="AW235" s="4">
        <v>2995220</v>
      </c>
      <c r="AX235" s="4">
        <v>3221380</v>
      </c>
      <c r="AY235" s="4">
        <v>3512890</v>
      </c>
    </row>
    <row r="236" spans="1:51">
      <c r="A236" s="18"/>
      <c r="C236" s="3" t="s">
        <v>10</v>
      </c>
      <c r="D236" s="4">
        <v>63054</v>
      </c>
      <c r="E236" s="4">
        <v>54274</v>
      </c>
      <c r="F236" s="4">
        <v>113760</v>
      </c>
      <c r="G236" s="4">
        <v>118105</v>
      </c>
      <c r="H236" s="4">
        <v>107607</v>
      </c>
      <c r="I236" s="4">
        <v>109335</v>
      </c>
      <c r="J236" s="4">
        <v>137553</v>
      </c>
      <c r="K236" s="4">
        <v>217993</v>
      </c>
      <c r="L236" s="4">
        <v>221129</v>
      </c>
      <c r="M236" s="4">
        <v>286000</v>
      </c>
      <c r="N236" s="4">
        <v>249108</v>
      </c>
      <c r="O236" s="4">
        <v>419960</v>
      </c>
      <c r="P236" s="4">
        <v>464867</v>
      </c>
      <c r="Q236" s="4">
        <v>435676</v>
      </c>
      <c r="R236" s="4">
        <v>512653</v>
      </c>
      <c r="S236" s="4">
        <v>737680</v>
      </c>
      <c r="T236" s="4">
        <v>614248</v>
      </c>
      <c r="U236" s="4">
        <v>622446</v>
      </c>
      <c r="V236" s="4">
        <v>824675</v>
      </c>
      <c r="W236" s="4">
        <v>912255</v>
      </c>
      <c r="X236" s="4">
        <v>782292</v>
      </c>
      <c r="Y236" s="4">
        <v>1091894</v>
      </c>
      <c r="Z236" s="4">
        <v>726035</v>
      </c>
      <c r="AA236" s="4">
        <v>836785</v>
      </c>
      <c r="AB236" s="4">
        <v>1060282</v>
      </c>
      <c r="AC236" s="4">
        <v>1069611</v>
      </c>
      <c r="AD236" s="4">
        <v>1267698</v>
      </c>
      <c r="AE236" s="4">
        <v>1435141</v>
      </c>
      <c r="AF236" s="4">
        <v>1534830</v>
      </c>
      <c r="AG236" s="4">
        <v>1356823</v>
      </c>
      <c r="AH236" s="4">
        <v>1544831</v>
      </c>
      <c r="AI236" s="4">
        <v>1800022</v>
      </c>
      <c r="AJ236" s="4">
        <v>2025064</v>
      </c>
      <c r="AK236" s="4">
        <v>1973310</v>
      </c>
      <c r="AL236" s="4">
        <v>2225060</v>
      </c>
      <c r="AM236" s="4">
        <v>1124762</v>
      </c>
      <c r="AN236" s="4">
        <v>1004959</v>
      </c>
      <c r="AO236" s="4">
        <v>1003301</v>
      </c>
      <c r="AP236" s="4">
        <v>912081</v>
      </c>
      <c r="AQ236" s="4">
        <v>836969</v>
      </c>
      <c r="AR236" s="4">
        <v>841062</v>
      </c>
      <c r="AS236" s="4">
        <v>836655</v>
      </c>
      <c r="AT236" s="4">
        <v>957096</v>
      </c>
      <c r="AU236" s="4">
        <v>727744</v>
      </c>
      <c r="AV236" s="4">
        <v>659781</v>
      </c>
      <c r="AW236" s="4">
        <v>627428</v>
      </c>
      <c r="AX236" s="4">
        <v>677202</v>
      </c>
      <c r="AY236" s="4">
        <v>645380</v>
      </c>
    </row>
    <row r="237" spans="1:51">
      <c r="A237" s="18"/>
      <c r="C237" s="3" t="s">
        <v>17</v>
      </c>
      <c r="D237" s="4">
        <v>1647976</v>
      </c>
      <c r="E237" s="4">
        <v>1965998</v>
      </c>
      <c r="F237" s="4">
        <v>2068372</v>
      </c>
      <c r="G237" s="4">
        <v>2306979</v>
      </c>
      <c r="H237" s="4">
        <v>2341724</v>
      </c>
      <c r="I237" s="4">
        <v>2642849</v>
      </c>
      <c r="J237" s="4">
        <v>2772120</v>
      </c>
      <c r="K237" s="4">
        <v>3171833</v>
      </c>
      <c r="L237" s="4">
        <v>3225758</v>
      </c>
      <c r="M237" s="4">
        <v>3501297</v>
      </c>
      <c r="N237" s="4">
        <v>3937069</v>
      </c>
      <c r="O237" s="4">
        <v>4731184</v>
      </c>
      <c r="P237" s="4">
        <v>4903049</v>
      </c>
      <c r="Q237" s="4">
        <v>5009029</v>
      </c>
      <c r="R237" s="4">
        <v>5915699</v>
      </c>
      <c r="S237" s="4">
        <v>6629350</v>
      </c>
      <c r="T237" s="4">
        <v>6558895</v>
      </c>
      <c r="U237" s="4">
        <v>6555805</v>
      </c>
      <c r="V237" s="4">
        <v>7530767</v>
      </c>
      <c r="W237" s="4">
        <v>8576760</v>
      </c>
      <c r="X237" s="4">
        <v>8026731</v>
      </c>
      <c r="Y237" s="4">
        <v>9475520</v>
      </c>
      <c r="Z237" s="4">
        <v>8005086</v>
      </c>
      <c r="AA237" s="4">
        <v>8642352</v>
      </c>
      <c r="AB237" s="4">
        <v>10137403</v>
      </c>
      <c r="AC237" s="4">
        <v>9279462</v>
      </c>
      <c r="AD237" s="4">
        <v>9297856</v>
      </c>
      <c r="AE237" s="4">
        <v>9747610</v>
      </c>
      <c r="AF237" s="4">
        <v>11003097</v>
      </c>
      <c r="AG237" s="4">
        <v>12689082</v>
      </c>
      <c r="AH237" s="4">
        <v>13629354</v>
      </c>
      <c r="AI237" s="4">
        <v>14955963</v>
      </c>
      <c r="AJ237" s="4">
        <v>15627752</v>
      </c>
      <c r="AK237" s="4">
        <v>15992265</v>
      </c>
      <c r="AL237" s="4">
        <v>16171568</v>
      </c>
      <c r="AM237" s="4">
        <v>16174365</v>
      </c>
      <c r="AN237" s="4">
        <v>16245811</v>
      </c>
      <c r="AO237" s="4">
        <v>16536265</v>
      </c>
      <c r="AP237" s="4">
        <v>17246027</v>
      </c>
      <c r="AQ237" s="4">
        <v>17820173</v>
      </c>
      <c r="AR237" s="4">
        <v>18089367</v>
      </c>
      <c r="AS237" s="4">
        <v>17760374</v>
      </c>
      <c r="AT237" s="9">
        <f t="shared" ref="AT237:AY237" si="520">SUM(AT231:AT236)</f>
        <v>17833466</v>
      </c>
      <c r="AU237" s="9">
        <f t="shared" si="520"/>
        <v>18474365</v>
      </c>
      <c r="AV237" s="9">
        <f t="shared" si="520"/>
        <v>18885238</v>
      </c>
      <c r="AW237" s="9">
        <f t="shared" si="520"/>
        <v>18947963</v>
      </c>
      <c r="AX237" s="9">
        <f t="shared" si="520"/>
        <v>19137968</v>
      </c>
      <c r="AY237" s="9">
        <f t="shared" si="520"/>
        <v>21360469</v>
      </c>
    </row>
    <row r="238" spans="1:51">
      <c r="A238" s="18"/>
      <c r="C238" s="10" t="s">
        <v>12</v>
      </c>
      <c r="D238" s="8">
        <f>D237/D319*100</f>
        <v>1.9587747970475318</v>
      </c>
      <c r="E238" s="8">
        <f>E237/E319*100</f>
        <v>1.9624655619884208</v>
      </c>
      <c r="F238" s="8">
        <f t="shared" ref="F238:AQ238" si="521">F237/F319*100</f>
        <v>1.9857260805284076</v>
      </c>
      <c r="G238" s="8">
        <f t="shared" si="521"/>
        <v>1.3756665215654238</v>
      </c>
      <c r="H238" s="8">
        <f t="shared" si="521"/>
        <v>1.7375668725812317</v>
      </c>
      <c r="I238" s="8">
        <f t="shared" si="521"/>
        <v>2.6413952288939213</v>
      </c>
      <c r="J238" s="8">
        <f t="shared" si="521"/>
        <v>1.5168194037321487</v>
      </c>
      <c r="K238" s="8">
        <f t="shared" si="521"/>
        <v>1.6579044434445036</v>
      </c>
      <c r="L238" s="8">
        <f t="shared" si="521"/>
        <v>1.5489045191983255</v>
      </c>
      <c r="M238" s="8">
        <f t="shared" si="521"/>
        <v>1.5904004648426624</v>
      </c>
      <c r="N238" s="8">
        <f t="shared" si="521"/>
        <v>1.7704837205480957</v>
      </c>
      <c r="O238" s="8">
        <f t="shared" si="521"/>
        <v>1.7613128389020256</v>
      </c>
      <c r="P238" s="8">
        <f t="shared" si="521"/>
        <v>1.7250089737918977</v>
      </c>
      <c r="Q238" s="8">
        <f t="shared" si="521"/>
        <v>1.6453377676413063</v>
      </c>
      <c r="R238" s="8">
        <f t="shared" si="521"/>
        <v>1.5253566561884682</v>
      </c>
      <c r="S238" s="8">
        <f t="shared" si="521"/>
        <v>1.5960030893078754</v>
      </c>
      <c r="T238" s="8">
        <f t="shared" si="521"/>
        <v>1.6693924514021492</v>
      </c>
      <c r="U238" s="8">
        <f t="shared" si="521"/>
        <v>1.5906098181530488</v>
      </c>
      <c r="V238" s="8">
        <f t="shared" si="521"/>
        <v>1.6647175870214717</v>
      </c>
      <c r="W238" s="8">
        <f t="shared" si="521"/>
        <v>1.3481723355066932</v>
      </c>
      <c r="X238" s="8">
        <f t="shared" si="521"/>
        <v>1.6300304520484643</v>
      </c>
      <c r="Y238" s="8">
        <f t="shared" si="521"/>
        <v>1.5943264865471392</v>
      </c>
      <c r="Z238" s="8">
        <f t="shared" si="521"/>
        <v>1.5127001901136639</v>
      </c>
      <c r="AA238" s="8">
        <f t="shared" si="521"/>
        <v>1.4241910107169156</v>
      </c>
      <c r="AB238" s="8">
        <f t="shared" si="521"/>
        <v>1.5937252527079746</v>
      </c>
      <c r="AC238" s="8">
        <f t="shared" si="521"/>
        <v>1.4772982773816439</v>
      </c>
      <c r="AD238" s="8">
        <f t="shared" si="521"/>
        <v>1.391445067788466</v>
      </c>
      <c r="AE238" s="8">
        <f t="shared" si="521"/>
        <v>1.4333611061344949</v>
      </c>
      <c r="AF238" s="8">
        <f t="shared" si="521"/>
        <v>1.4586462480652296</v>
      </c>
      <c r="AG238" s="8">
        <f t="shared" si="521"/>
        <v>1.5742069721547176</v>
      </c>
      <c r="AH238" s="8">
        <f t="shared" si="521"/>
        <v>1.6220880412410548</v>
      </c>
      <c r="AI238" s="8">
        <f t="shared" si="521"/>
        <v>1.5072877325481462</v>
      </c>
      <c r="AJ238" s="8">
        <f t="shared" si="521"/>
        <v>1.3080677341245188</v>
      </c>
      <c r="AK238" s="8">
        <f t="shared" si="521"/>
        <v>1.4306088571477102</v>
      </c>
      <c r="AL238" s="8">
        <f t="shared" si="521"/>
        <v>1.4370343045175804</v>
      </c>
      <c r="AM238" s="8">
        <f t="shared" si="521"/>
        <v>1.41698511273553</v>
      </c>
      <c r="AN238" s="8">
        <f t="shared" si="521"/>
        <v>1.3773444795727612</v>
      </c>
      <c r="AO238" s="8">
        <f t="shared" si="521"/>
        <v>1.3662057030359946</v>
      </c>
      <c r="AP238" s="8">
        <f t="shared" si="521"/>
        <v>1.3367859998297418</v>
      </c>
      <c r="AQ238" s="8">
        <f t="shared" si="521"/>
        <v>1.3358348684852979</v>
      </c>
      <c r="AR238" s="8">
        <f t="shared" ref="AR238:AW238" si="522">AR237/AR319*100</f>
        <v>1.2418513900351893</v>
      </c>
      <c r="AS238" s="8">
        <f t="shared" si="522"/>
        <v>1.2081635316562573</v>
      </c>
      <c r="AT238" s="40">
        <f t="shared" si="522"/>
        <v>1.2487956951915338</v>
      </c>
      <c r="AU238" s="40">
        <f t="shared" ref="AU238:AV238" si="523">AU237/AU319*100</f>
        <v>1.2325618683711832</v>
      </c>
      <c r="AV238" s="40">
        <f t="shared" si="523"/>
        <v>1.2564998237765403</v>
      </c>
      <c r="AW238" s="40">
        <f t="shared" si="522"/>
        <v>1.2065265009720745</v>
      </c>
      <c r="AX238" s="40">
        <f t="shared" ref="AX238:AY238" si="524">AX237/AX319*100</f>
        <v>1.3365837837021661</v>
      </c>
      <c r="AY238" s="40">
        <f t="shared" si="524"/>
        <v>1.1630137303660328</v>
      </c>
    </row>
    <row r="239" spans="1:51">
      <c r="A239" s="18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</row>
    <row r="240" spans="1:51" s="2" customFormat="1">
      <c r="A240" s="19"/>
      <c r="C240" s="3"/>
      <c r="D240" s="1">
        <f t="shared" ref="D240:AQ240" si="525">D2</f>
        <v>1975</v>
      </c>
      <c r="E240" s="1">
        <f t="shared" ref="E240" si="526">E2</f>
        <v>76</v>
      </c>
      <c r="F240" s="1">
        <f t="shared" si="525"/>
        <v>77</v>
      </c>
      <c r="G240" s="1">
        <f t="shared" si="525"/>
        <v>78</v>
      </c>
      <c r="H240" s="1">
        <f t="shared" si="525"/>
        <v>79</v>
      </c>
      <c r="I240" s="1">
        <f t="shared" si="525"/>
        <v>80</v>
      </c>
      <c r="J240" s="1">
        <f t="shared" si="525"/>
        <v>81</v>
      </c>
      <c r="K240" s="1">
        <f t="shared" si="525"/>
        <v>82</v>
      </c>
      <c r="L240" s="1">
        <f t="shared" si="525"/>
        <v>83</v>
      </c>
      <c r="M240" s="1">
        <f t="shared" si="525"/>
        <v>84</v>
      </c>
      <c r="N240" s="1">
        <f t="shared" si="525"/>
        <v>85</v>
      </c>
      <c r="O240" s="1">
        <f t="shared" si="525"/>
        <v>86</v>
      </c>
      <c r="P240" s="1">
        <f t="shared" si="525"/>
        <v>87</v>
      </c>
      <c r="Q240" s="1">
        <f t="shared" si="525"/>
        <v>88</v>
      </c>
      <c r="R240" s="1">
        <f t="shared" si="525"/>
        <v>89</v>
      </c>
      <c r="S240" s="1" t="str">
        <f t="shared" si="525"/>
        <v>90</v>
      </c>
      <c r="T240" s="1" t="str">
        <f t="shared" si="525"/>
        <v>91</v>
      </c>
      <c r="U240" s="1" t="str">
        <f t="shared" si="525"/>
        <v>92</v>
      </c>
      <c r="V240" s="1" t="str">
        <f t="shared" si="525"/>
        <v>93</v>
      </c>
      <c r="W240" s="1" t="str">
        <f t="shared" si="525"/>
        <v>94</v>
      </c>
      <c r="X240" s="1" t="str">
        <f t="shared" si="525"/>
        <v>95</v>
      </c>
      <c r="Y240" s="1" t="str">
        <f t="shared" si="525"/>
        <v>96</v>
      </c>
      <c r="Z240" s="1" t="str">
        <f t="shared" si="525"/>
        <v>97</v>
      </c>
      <c r="AA240" s="1" t="str">
        <f t="shared" si="525"/>
        <v>98</v>
      </c>
      <c r="AB240" s="1" t="str">
        <f t="shared" si="525"/>
        <v>99</v>
      </c>
      <c r="AC240" s="1" t="str">
        <f t="shared" si="525"/>
        <v>2000</v>
      </c>
      <c r="AD240" s="1" t="str">
        <f t="shared" si="525"/>
        <v>01</v>
      </c>
      <c r="AE240" s="1" t="str">
        <f t="shared" si="525"/>
        <v>02</v>
      </c>
      <c r="AF240" s="1" t="str">
        <f t="shared" si="525"/>
        <v>03</v>
      </c>
      <c r="AG240" s="1" t="str">
        <f t="shared" si="525"/>
        <v>04</v>
      </c>
      <c r="AH240" s="1" t="str">
        <f t="shared" si="525"/>
        <v>05</v>
      </c>
      <c r="AI240" s="1" t="str">
        <f t="shared" si="525"/>
        <v>06</v>
      </c>
      <c r="AJ240" s="1" t="str">
        <f t="shared" si="525"/>
        <v>07</v>
      </c>
      <c r="AK240" s="1" t="str">
        <f t="shared" si="525"/>
        <v>08</v>
      </c>
      <c r="AL240" s="1" t="str">
        <f t="shared" si="525"/>
        <v>09</v>
      </c>
      <c r="AM240" s="1" t="str">
        <f t="shared" si="525"/>
        <v>10</v>
      </c>
      <c r="AN240" s="1" t="str">
        <f t="shared" si="525"/>
        <v>11</v>
      </c>
      <c r="AO240" s="1" t="str">
        <f t="shared" si="525"/>
        <v>12</v>
      </c>
      <c r="AP240" s="1" t="str">
        <f t="shared" si="525"/>
        <v>13</v>
      </c>
      <c r="AQ240" s="1" t="str">
        <f t="shared" si="525"/>
        <v>14</v>
      </c>
      <c r="AR240" s="1" t="str">
        <f t="shared" ref="AR240:AS240" si="527">AR2</f>
        <v>15</v>
      </c>
      <c r="AS240" s="1" t="str">
        <f t="shared" si="527"/>
        <v>16</v>
      </c>
      <c r="AT240" s="1" t="str">
        <f t="shared" ref="AT240" si="528">AT2</f>
        <v>17</v>
      </c>
      <c r="AU240" s="1">
        <v>18</v>
      </c>
      <c r="AV240" s="1">
        <v>19</v>
      </c>
      <c r="AW240" s="1">
        <v>20</v>
      </c>
      <c r="AX240" s="1">
        <v>21</v>
      </c>
      <c r="AY240" s="1">
        <v>22</v>
      </c>
    </row>
    <row r="241" spans="1:51">
      <c r="A241" s="18" t="s">
        <v>7</v>
      </c>
      <c r="B241" s="3" t="s">
        <v>28</v>
      </c>
      <c r="C241" s="3" t="s">
        <v>8</v>
      </c>
      <c r="D241" s="4">
        <f t="shared" ref="D241:AQ241" si="529">D231/D354</f>
        <v>261848.75</v>
      </c>
      <c r="E241" s="4">
        <f t="shared" ref="E241" si="530">E231/E354</f>
        <v>304306.25</v>
      </c>
      <c r="F241" s="4">
        <f t="shared" si="529"/>
        <v>326248.5</v>
      </c>
      <c r="G241" s="4">
        <f t="shared" si="529"/>
        <v>362513</v>
      </c>
      <c r="H241" s="4">
        <f t="shared" si="529"/>
        <v>364385</v>
      </c>
      <c r="I241" s="4">
        <f t="shared" si="529"/>
        <v>436969.5</v>
      </c>
      <c r="J241" s="4">
        <f t="shared" si="529"/>
        <v>437554.5</v>
      </c>
      <c r="K241" s="4">
        <f t="shared" si="529"/>
        <v>454504.5</v>
      </c>
      <c r="L241" s="4">
        <f t="shared" si="529"/>
        <v>455646.75</v>
      </c>
      <c r="M241" s="4">
        <f t="shared" si="529"/>
        <v>497114</v>
      </c>
      <c r="N241" s="4">
        <f t="shared" si="529"/>
        <v>601711.25</v>
      </c>
      <c r="O241" s="4">
        <f t="shared" si="529"/>
        <v>545141</v>
      </c>
      <c r="P241" s="4">
        <f t="shared" si="529"/>
        <v>564896</v>
      </c>
      <c r="Q241" s="4">
        <f t="shared" si="529"/>
        <v>561191.19999999995</v>
      </c>
      <c r="R241" s="4">
        <f t="shared" si="529"/>
        <v>557983</v>
      </c>
      <c r="S241" s="4">
        <f t="shared" si="529"/>
        <v>502468.28571428574</v>
      </c>
      <c r="T241" s="4">
        <f t="shared" si="529"/>
        <v>489150.28571428574</v>
      </c>
      <c r="U241" s="4">
        <f t="shared" si="529"/>
        <v>488808.14285714284</v>
      </c>
      <c r="V241" s="4">
        <f t="shared" si="529"/>
        <v>486367.125</v>
      </c>
      <c r="W241" s="4">
        <f t="shared" si="529"/>
        <v>416360.90909090912</v>
      </c>
      <c r="X241" s="4">
        <f t="shared" si="529"/>
        <v>468709.88888888888</v>
      </c>
      <c r="Y241" s="4">
        <f t="shared" si="529"/>
        <v>360608.69230769231</v>
      </c>
      <c r="Z241" s="4">
        <f t="shared" si="529"/>
        <v>367999.5</v>
      </c>
      <c r="AA241" s="4">
        <f t="shared" si="529"/>
        <v>343738.18181818182</v>
      </c>
      <c r="AB241" s="4">
        <f t="shared" si="529"/>
        <v>408604.41666666669</v>
      </c>
      <c r="AC241" s="4">
        <f t="shared" si="529"/>
        <v>350004.75</v>
      </c>
      <c r="AD241" s="4">
        <f t="shared" si="529"/>
        <v>301646</v>
      </c>
      <c r="AE241" s="4">
        <f t="shared" si="529"/>
        <v>280509.42857142858</v>
      </c>
      <c r="AF241" s="4">
        <f t="shared" si="529"/>
        <v>299115.40000000002</v>
      </c>
      <c r="AG241" s="4">
        <f t="shared" si="529"/>
        <v>262138.5</v>
      </c>
      <c r="AH241" s="4">
        <f t="shared" si="529"/>
        <v>253373.14285714287</v>
      </c>
      <c r="AI241" s="4">
        <f t="shared" si="529"/>
        <v>243405.82608695651</v>
      </c>
      <c r="AJ241" s="4">
        <f t="shared" si="529"/>
        <v>214109.07692307694</v>
      </c>
      <c r="AK241" s="4">
        <f t="shared" si="529"/>
        <v>207639.77777777778</v>
      </c>
      <c r="AL241" s="4">
        <f t="shared" si="529"/>
        <v>201971.75</v>
      </c>
      <c r="AM241" s="4">
        <f t="shared" si="529"/>
        <v>190801.4827586207</v>
      </c>
      <c r="AN241" s="4">
        <f t="shared" si="529"/>
        <v>182167.7</v>
      </c>
      <c r="AO241" s="4">
        <f t="shared" si="529"/>
        <v>174722.1875</v>
      </c>
      <c r="AP241" s="4">
        <f t="shared" si="529"/>
        <v>152868.44444444444</v>
      </c>
      <c r="AQ241" s="4">
        <f t="shared" si="529"/>
        <v>134901.36842105264</v>
      </c>
      <c r="AR241" s="4">
        <f t="shared" ref="AR241" si="531">AR231/AR354</f>
        <v>123547.6</v>
      </c>
      <c r="AS241" s="4">
        <v>107240</v>
      </c>
      <c r="AT241" s="9">
        <f t="shared" ref="AT241:AY241" si="532">ROUND(AT231/AT$354,0)</f>
        <v>109580</v>
      </c>
      <c r="AU241" s="9">
        <f t="shared" si="532"/>
        <v>100673</v>
      </c>
      <c r="AV241" s="9">
        <f t="shared" si="532"/>
        <v>95525</v>
      </c>
      <c r="AW241" s="9">
        <f t="shared" si="532"/>
        <v>80976</v>
      </c>
      <c r="AX241" s="9">
        <f t="shared" si="532"/>
        <v>78356</v>
      </c>
      <c r="AY241" s="9">
        <f t="shared" si="532"/>
        <v>67939</v>
      </c>
    </row>
    <row r="242" spans="1:51">
      <c r="A242" s="18"/>
      <c r="B242" s="3" t="s">
        <v>21</v>
      </c>
      <c r="C242" s="3" t="s">
        <v>9</v>
      </c>
      <c r="D242" s="4">
        <f t="shared" ref="D242:AQ242" si="533">D232/D354</f>
        <v>134381.75</v>
      </c>
      <c r="E242" s="4">
        <f t="shared" ref="E242" si="534">E232/E354</f>
        <v>173624.75</v>
      </c>
      <c r="F242" s="4">
        <f t="shared" si="533"/>
        <v>162404.5</v>
      </c>
      <c r="G242" s="4">
        <f t="shared" si="533"/>
        <v>184705.5</v>
      </c>
      <c r="H242" s="4">
        <f t="shared" si="533"/>
        <v>194144.25</v>
      </c>
      <c r="I242" s="4">
        <f t="shared" si="533"/>
        <v>196409</v>
      </c>
      <c r="J242" s="4">
        <f t="shared" si="533"/>
        <v>221087.25</v>
      </c>
      <c r="K242" s="4">
        <f t="shared" si="533"/>
        <v>283955.5</v>
      </c>
      <c r="L242" s="4">
        <f t="shared" si="533"/>
        <v>295510.5</v>
      </c>
      <c r="M242" s="4">
        <f t="shared" si="533"/>
        <v>306710.25</v>
      </c>
      <c r="N242" s="4">
        <f t="shared" si="533"/>
        <v>320279</v>
      </c>
      <c r="O242" s="4">
        <f t="shared" si="533"/>
        <v>317103.8</v>
      </c>
      <c r="P242" s="4">
        <f t="shared" si="533"/>
        <v>322740.40000000002</v>
      </c>
      <c r="Q242" s="4">
        <f t="shared" si="533"/>
        <v>353479.4</v>
      </c>
      <c r="R242" s="4">
        <f t="shared" si="533"/>
        <v>342524.66666666669</v>
      </c>
      <c r="S242" s="4">
        <f t="shared" si="533"/>
        <v>339198.85714285716</v>
      </c>
      <c r="T242" s="4">
        <f t="shared" si="533"/>
        <v>360085</v>
      </c>
      <c r="U242" s="4">
        <f t="shared" si="533"/>
        <v>358814.57142857142</v>
      </c>
      <c r="V242" s="4">
        <f t="shared" si="533"/>
        <v>351894.375</v>
      </c>
      <c r="W242" s="4">
        <f t="shared" si="533"/>
        <v>280412.27272727271</v>
      </c>
      <c r="X242" s="4">
        <f t="shared" si="533"/>
        <v>336227.77777777775</v>
      </c>
      <c r="Y242" s="4">
        <f t="shared" si="533"/>
        <v>284285.61538461538</v>
      </c>
      <c r="Z242" s="4">
        <f t="shared" si="533"/>
        <v>359905.6</v>
      </c>
      <c r="AA242" s="4">
        <f t="shared" si="533"/>
        <v>365858.81818181818</v>
      </c>
      <c r="AB242" s="4">
        <f t="shared" si="533"/>
        <v>347822.33333333331</v>
      </c>
      <c r="AC242" s="4">
        <f t="shared" si="533"/>
        <v>334149.5</v>
      </c>
      <c r="AD242" s="4">
        <f t="shared" si="533"/>
        <v>316058.46153846156</v>
      </c>
      <c r="AE242" s="4">
        <f t="shared" si="533"/>
        <v>313238.35714285716</v>
      </c>
      <c r="AF242" s="4">
        <f t="shared" si="533"/>
        <v>332102.40000000002</v>
      </c>
      <c r="AG242" s="4">
        <f t="shared" si="533"/>
        <v>250741.5</v>
      </c>
      <c r="AH242" s="4">
        <f t="shared" si="533"/>
        <v>249253.57142857142</v>
      </c>
      <c r="AI242" s="4">
        <f t="shared" si="533"/>
        <v>239169</v>
      </c>
      <c r="AJ242" s="4">
        <f t="shared" si="533"/>
        <v>206323.73076923078</v>
      </c>
      <c r="AK242" s="4">
        <f t="shared" si="533"/>
        <v>180431.70370370371</v>
      </c>
      <c r="AL242" s="4">
        <f t="shared" si="533"/>
        <v>148067.67857142858</v>
      </c>
      <c r="AM242" s="4">
        <f t="shared" si="533"/>
        <v>123110.68965517242</v>
      </c>
      <c r="AN242" s="4">
        <f t="shared" si="533"/>
        <v>111000.5</v>
      </c>
      <c r="AO242" s="4">
        <f t="shared" si="533"/>
        <v>97134.375</v>
      </c>
      <c r="AP242" s="4">
        <f t="shared" si="533"/>
        <v>90077.583333333328</v>
      </c>
      <c r="AQ242" s="4">
        <f t="shared" si="533"/>
        <v>91678.236842105267</v>
      </c>
      <c r="AR242" s="4">
        <f t="shared" ref="AR242" si="535">AR232/AR354</f>
        <v>87589.05</v>
      </c>
      <c r="AS242" s="4">
        <v>76196</v>
      </c>
      <c r="AT242" s="9">
        <f t="shared" ref="AT242" si="536">ROUND(AT232/AT$354,0)</f>
        <v>74381</v>
      </c>
      <c r="AU242" s="9">
        <f t="shared" ref="AU242:AV242" si="537">ROUND(AU232/AU$354,0)</f>
        <v>73953</v>
      </c>
      <c r="AV242" s="9">
        <f t="shared" si="537"/>
        <v>70170</v>
      </c>
      <c r="AW242" s="9">
        <f t="shared" ref="AW242:AX246" si="538">ROUND(AW232/AW$354,0)</f>
        <v>62435</v>
      </c>
      <c r="AX242" s="9">
        <f t="shared" si="538"/>
        <v>61829</v>
      </c>
      <c r="AY242" s="9">
        <f t="shared" ref="AY242" si="539">ROUND(AY232/AY$354,0)</f>
        <v>59728</v>
      </c>
    </row>
    <row r="243" spans="1:51">
      <c r="A243" s="18"/>
      <c r="C243" s="3" t="s">
        <v>11</v>
      </c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AG243" s="4">
        <f t="shared" ref="AG243:AQ243" si="540">AG233/AG354</f>
        <v>53732.95</v>
      </c>
      <c r="AH243" s="4">
        <f t="shared" si="540"/>
        <v>72826.761904761908</v>
      </c>
      <c r="AI243" s="4">
        <f t="shared" si="540"/>
        <v>89422.608695652176</v>
      </c>
      <c r="AJ243" s="4">
        <f t="shared" si="540"/>
        <v>102747.5</v>
      </c>
      <c r="AK243" s="4">
        <f t="shared" si="540"/>
        <v>131149.07407407407</v>
      </c>
      <c r="AL243" s="4">
        <f t="shared" si="540"/>
        <v>148050.14285714287</v>
      </c>
      <c r="AM243" s="4">
        <f t="shared" si="540"/>
        <v>152426.41379310345</v>
      </c>
      <c r="AN243" s="4">
        <f t="shared" si="540"/>
        <v>161336.86666666667</v>
      </c>
      <c r="AO243" s="4">
        <f t="shared" si="540"/>
        <v>153680.875</v>
      </c>
      <c r="AP243" s="4">
        <f t="shared" si="540"/>
        <v>147036.58333333334</v>
      </c>
      <c r="AQ243" s="4">
        <f t="shared" si="540"/>
        <v>159899.55263157896</v>
      </c>
      <c r="AR243" s="4">
        <f t="shared" ref="AR243" si="541">AR233/AR354</f>
        <v>159604.65</v>
      </c>
      <c r="AS243" s="4">
        <v>141185</v>
      </c>
      <c r="AT243" s="9">
        <f t="shared" ref="AT243" si="542">ROUND(AT233/AT$354,0)</f>
        <v>142854</v>
      </c>
      <c r="AU243" s="9">
        <f t="shared" ref="AU243:AV243" si="543">ROUND(AU233/AU$354,0)</f>
        <v>157053</v>
      </c>
      <c r="AV243" s="9">
        <f t="shared" si="543"/>
        <v>173193</v>
      </c>
      <c r="AW243" s="9">
        <f t="shared" si="538"/>
        <v>168900</v>
      </c>
      <c r="AX243" s="9">
        <f t="shared" si="538"/>
        <v>165601</v>
      </c>
      <c r="AY243" s="9">
        <f t="shared" ref="AY243" si="544">ROUND(AY233/AY$354,0)</f>
        <v>180261</v>
      </c>
    </row>
    <row r="244" spans="1:51">
      <c r="A244" s="18"/>
      <c r="C244" s="3" t="s">
        <v>26</v>
      </c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AM244" s="4">
        <f t="shared" ref="AM244:AQ244" si="545">AM234/AM354</f>
        <v>5833.5517241379312</v>
      </c>
      <c r="AN244" s="4">
        <f t="shared" si="545"/>
        <v>5443</v>
      </c>
      <c r="AO244" s="4">
        <f t="shared" si="545"/>
        <v>8244.84375</v>
      </c>
      <c r="AP244" s="4">
        <f t="shared" si="545"/>
        <v>5478.3055555555557</v>
      </c>
      <c r="AQ244" s="4">
        <f t="shared" si="545"/>
        <v>5636.0789473684208</v>
      </c>
      <c r="AR244" s="4">
        <f t="shared" ref="AR244" si="546">AR234/AR354</f>
        <v>6174.35</v>
      </c>
      <c r="AS244" s="4">
        <v>7968</v>
      </c>
      <c r="AT244" s="9">
        <f t="shared" ref="AT244" si="547">ROUND(AT234/AT$354,0)</f>
        <v>11134</v>
      </c>
      <c r="AU244" s="9">
        <f t="shared" ref="AU244:AV244" si="548">ROUND(AU234/AU$354,0)</f>
        <v>12591</v>
      </c>
      <c r="AV244" s="9">
        <f t="shared" si="548"/>
        <v>13413</v>
      </c>
      <c r="AW244" s="9">
        <f t="shared" si="538"/>
        <v>20849</v>
      </c>
      <c r="AX244" s="9">
        <f t="shared" si="538"/>
        <v>18456</v>
      </c>
      <c r="AY244" s="9">
        <f t="shared" ref="AY244" si="549">ROUND(AY234/AY$354,0)</f>
        <v>16642</v>
      </c>
    </row>
    <row r="245" spans="1:51">
      <c r="A245" s="18"/>
      <c r="C245" s="3" t="s">
        <v>24</v>
      </c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AM245" s="4">
        <f t="shared" ref="AM245:AQ245" si="550">AM235/AM354</f>
        <v>46779.689655172413</v>
      </c>
      <c r="AN245" s="4">
        <f t="shared" si="550"/>
        <v>48080.333333333336</v>
      </c>
      <c r="AO245" s="4">
        <f t="shared" si="550"/>
        <v>51622.84375</v>
      </c>
      <c r="AP245" s="4">
        <f t="shared" si="550"/>
        <v>58259.805555555555</v>
      </c>
      <c r="AQ245" s="4">
        <f t="shared" si="550"/>
        <v>54811.184210526313</v>
      </c>
      <c r="AR245" s="4">
        <f t="shared" ref="AR245" si="551">AR235/AR354</f>
        <v>54291.974999999999</v>
      </c>
      <c r="AS245" s="4">
        <v>52041</v>
      </c>
      <c r="AT245" s="9">
        <f t="shared" ref="AT245" si="552">ROUND(AT235/AT$354,0)</f>
        <v>54525</v>
      </c>
      <c r="AU245" s="9">
        <f t="shared" ref="AU245:AV245" si="553">ROUND(AU235/AU$354,0)</f>
        <v>59062</v>
      </c>
      <c r="AV245" s="9">
        <f t="shared" si="553"/>
        <v>61914</v>
      </c>
      <c r="AW245" s="9">
        <f t="shared" si="538"/>
        <v>65113</v>
      </c>
      <c r="AX245" s="9">
        <f t="shared" si="538"/>
        <v>68540</v>
      </c>
      <c r="AY245" s="9">
        <f t="shared" ref="AY245" si="554">ROUND(AY235/AY$354,0)</f>
        <v>66281</v>
      </c>
    </row>
    <row r="246" spans="1:51">
      <c r="A246" s="18"/>
      <c r="C246" s="3" t="s">
        <v>10</v>
      </c>
      <c r="D246" s="4">
        <f t="shared" ref="D246:AQ246" si="555">D236/D354</f>
        <v>15763.5</v>
      </c>
      <c r="E246" s="4">
        <f t="shared" ref="E246" si="556">E236/E354</f>
        <v>13568.5</v>
      </c>
      <c r="F246" s="4">
        <f t="shared" si="555"/>
        <v>28440</v>
      </c>
      <c r="G246" s="4">
        <f t="shared" si="555"/>
        <v>29526.25</v>
      </c>
      <c r="H246" s="4">
        <f t="shared" si="555"/>
        <v>26901.75</v>
      </c>
      <c r="I246" s="4">
        <f t="shared" si="555"/>
        <v>27333.75</v>
      </c>
      <c r="J246" s="4">
        <f t="shared" si="555"/>
        <v>34388.25</v>
      </c>
      <c r="K246" s="4">
        <f t="shared" si="555"/>
        <v>54498.25</v>
      </c>
      <c r="L246" s="4">
        <f t="shared" si="555"/>
        <v>55282.25</v>
      </c>
      <c r="M246" s="4">
        <f t="shared" si="555"/>
        <v>71500</v>
      </c>
      <c r="N246" s="4">
        <f t="shared" si="555"/>
        <v>62277</v>
      </c>
      <c r="O246" s="4">
        <f t="shared" si="555"/>
        <v>83992</v>
      </c>
      <c r="P246" s="4">
        <f t="shared" si="555"/>
        <v>92973.4</v>
      </c>
      <c r="Q246" s="4">
        <f t="shared" si="555"/>
        <v>87135.2</v>
      </c>
      <c r="R246" s="4">
        <f t="shared" si="555"/>
        <v>85442.166666666672</v>
      </c>
      <c r="S246" s="4">
        <f t="shared" si="555"/>
        <v>105382.85714285714</v>
      </c>
      <c r="T246" s="4">
        <f t="shared" si="555"/>
        <v>87749.71428571429</v>
      </c>
      <c r="U246" s="4">
        <f t="shared" si="555"/>
        <v>88920.857142857145</v>
      </c>
      <c r="V246" s="4">
        <f t="shared" si="555"/>
        <v>103084.375</v>
      </c>
      <c r="W246" s="4">
        <f t="shared" si="555"/>
        <v>82932.272727272721</v>
      </c>
      <c r="X246" s="4">
        <f t="shared" si="555"/>
        <v>86921.333333333328</v>
      </c>
      <c r="Y246" s="4">
        <f t="shared" si="555"/>
        <v>83991.846153846156</v>
      </c>
      <c r="Z246" s="4">
        <f t="shared" si="555"/>
        <v>72603.5</v>
      </c>
      <c r="AA246" s="4">
        <f t="shared" si="555"/>
        <v>76071.363636363632</v>
      </c>
      <c r="AB246" s="4">
        <f t="shared" si="555"/>
        <v>88356.833333333328</v>
      </c>
      <c r="AC246" s="4">
        <f t="shared" si="555"/>
        <v>89134.25</v>
      </c>
      <c r="AD246" s="4">
        <f t="shared" si="555"/>
        <v>97515.230769230766</v>
      </c>
      <c r="AE246" s="4">
        <f t="shared" si="555"/>
        <v>102510.07142857143</v>
      </c>
      <c r="AF246" s="4">
        <f t="shared" si="555"/>
        <v>102322</v>
      </c>
      <c r="AG246" s="4">
        <f t="shared" si="555"/>
        <v>67841.149999999994</v>
      </c>
      <c r="AH246" s="4">
        <f t="shared" si="555"/>
        <v>73563.380952380947</v>
      </c>
      <c r="AI246" s="4">
        <f t="shared" si="555"/>
        <v>78261.826086956527</v>
      </c>
      <c r="AJ246" s="4">
        <f t="shared" si="555"/>
        <v>77887.076923076922</v>
      </c>
      <c r="AK246" s="4">
        <f t="shared" si="555"/>
        <v>73085.555555555562</v>
      </c>
      <c r="AL246" s="4">
        <f t="shared" si="555"/>
        <v>79466.428571428565</v>
      </c>
      <c r="AM246" s="4">
        <f t="shared" si="555"/>
        <v>38784.896551724138</v>
      </c>
      <c r="AN246" s="4">
        <f t="shared" si="555"/>
        <v>33498.633333333331</v>
      </c>
      <c r="AO246" s="4">
        <f t="shared" si="555"/>
        <v>31353.15625</v>
      </c>
      <c r="AP246" s="4">
        <f t="shared" si="555"/>
        <v>25335.583333333332</v>
      </c>
      <c r="AQ246" s="4">
        <f t="shared" si="555"/>
        <v>22025.5</v>
      </c>
      <c r="AR246" s="4">
        <f t="shared" ref="AR246" si="557">AR236/AR354</f>
        <v>21026.55</v>
      </c>
      <c r="AS246" s="4">
        <v>19015</v>
      </c>
      <c r="AT246" s="9">
        <f t="shared" ref="AT246" si="558">ROUND(AT236/AT$354,0)</f>
        <v>22258</v>
      </c>
      <c r="AU246" s="9">
        <f t="shared" ref="AU246:AV246" si="559">ROUND(AU236/AU$354,0)</f>
        <v>16540</v>
      </c>
      <c r="AV246" s="9">
        <f t="shared" si="559"/>
        <v>14995</v>
      </c>
      <c r="AW246" s="9">
        <f t="shared" si="538"/>
        <v>13640</v>
      </c>
      <c r="AX246" s="9">
        <f t="shared" si="538"/>
        <v>14409</v>
      </c>
      <c r="AY246" s="9">
        <f t="shared" ref="AY246" si="560">ROUND(AY236/AY$354,0)</f>
        <v>12177</v>
      </c>
    </row>
    <row r="247" spans="1:51">
      <c r="A247" s="18"/>
      <c r="C247" s="3" t="s">
        <v>17</v>
      </c>
      <c r="D247" s="4">
        <f t="shared" ref="D247:AQ247" si="561">D237/D354</f>
        <v>411994</v>
      </c>
      <c r="E247" s="4">
        <f t="shared" ref="E247" si="562">E237/E354</f>
        <v>491499.5</v>
      </c>
      <c r="F247" s="4">
        <f t="shared" si="561"/>
        <v>517093</v>
      </c>
      <c r="G247" s="4">
        <f t="shared" si="561"/>
        <v>576744.75</v>
      </c>
      <c r="H247" s="4">
        <f t="shared" si="561"/>
        <v>585431</v>
      </c>
      <c r="I247" s="4">
        <f t="shared" si="561"/>
        <v>660712.25</v>
      </c>
      <c r="J247" s="4">
        <f t="shared" si="561"/>
        <v>693030</v>
      </c>
      <c r="K247" s="4">
        <f t="shared" si="561"/>
        <v>792958.25</v>
      </c>
      <c r="L247" s="4">
        <f t="shared" si="561"/>
        <v>806439.5</v>
      </c>
      <c r="M247" s="4">
        <f t="shared" si="561"/>
        <v>875324.25</v>
      </c>
      <c r="N247" s="4">
        <f t="shared" si="561"/>
        <v>984267.25</v>
      </c>
      <c r="O247" s="4">
        <f t="shared" si="561"/>
        <v>946236.8</v>
      </c>
      <c r="P247" s="4">
        <f t="shared" si="561"/>
        <v>980609.8</v>
      </c>
      <c r="Q247" s="4">
        <f t="shared" si="561"/>
        <v>1001805.8</v>
      </c>
      <c r="R247" s="4">
        <f t="shared" si="561"/>
        <v>985949.83333333337</v>
      </c>
      <c r="S247" s="4">
        <f t="shared" si="561"/>
        <v>947050</v>
      </c>
      <c r="T247" s="4">
        <f t="shared" si="561"/>
        <v>936985</v>
      </c>
      <c r="U247" s="4">
        <f t="shared" si="561"/>
        <v>936543.57142857148</v>
      </c>
      <c r="V247" s="4">
        <f t="shared" si="561"/>
        <v>941345.875</v>
      </c>
      <c r="W247" s="4">
        <f t="shared" si="561"/>
        <v>779705.45454545459</v>
      </c>
      <c r="X247" s="4">
        <f t="shared" si="561"/>
        <v>891859</v>
      </c>
      <c r="Y247" s="4">
        <f t="shared" si="561"/>
        <v>728886.15384615387</v>
      </c>
      <c r="Z247" s="4">
        <f t="shared" si="561"/>
        <v>800508.6</v>
      </c>
      <c r="AA247" s="4">
        <f t="shared" si="561"/>
        <v>785668.36363636365</v>
      </c>
      <c r="AB247" s="4">
        <f t="shared" si="561"/>
        <v>844783.58333333337</v>
      </c>
      <c r="AC247" s="4">
        <f t="shared" si="561"/>
        <v>773288.5</v>
      </c>
      <c r="AD247" s="4">
        <f t="shared" si="561"/>
        <v>715219.69230769225</v>
      </c>
      <c r="AE247" s="4">
        <f t="shared" si="561"/>
        <v>696257.85714285716</v>
      </c>
      <c r="AF247" s="4">
        <f t="shared" si="561"/>
        <v>733539.8</v>
      </c>
      <c r="AG247" s="4">
        <f t="shared" si="561"/>
        <v>634454.1</v>
      </c>
      <c r="AH247" s="4">
        <f t="shared" si="561"/>
        <v>649016.85714285716</v>
      </c>
      <c r="AI247" s="4">
        <f t="shared" si="561"/>
        <v>650259.26086956519</v>
      </c>
      <c r="AJ247" s="4">
        <f t="shared" si="561"/>
        <v>601067.38461538462</v>
      </c>
      <c r="AK247" s="4">
        <f t="shared" si="561"/>
        <v>592306.11111111112</v>
      </c>
      <c r="AL247" s="4">
        <f t="shared" si="561"/>
        <v>577556</v>
      </c>
      <c r="AM247" s="4">
        <f t="shared" si="561"/>
        <v>557736.72413793101</v>
      </c>
      <c r="AN247" s="4">
        <f t="shared" si="561"/>
        <v>541527.03333333333</v>
      </c>
      <c r="AO247" s="4">
        <f t="shared" si="561"/>
        <v>516758.28125</v>
      </c>
      <c r="AP247" s="4">
        <f t="shared" si="561"/>
        <v>479056.30555555556</v>
      </c>
      <c r="AQ247" s="4">
        <f t="shared" si="561"/>
        <v>468951.92105263157</v>
      </c>
      <c r="AR247" s="4">
        <f t="shared" ref="AR247" si="563">AR237/AR354</f>
        <v>452234.17499999999</v>
      </c>
      <c r="AS247" s="4">
        <v>403645</v>
      </c>
      <c r="AT247" s="9">
        <f t="shared" ref="AT247:AY247" si="564">SUM(AT241:AT246)</f>
        <v>414732</v>
      </c>
      <c r="AU247" s="9">
        <f t="shared" si="564"/>
        <v>419872</v>
      </c>
      <c r="AV247" s="9">
        <f t="shared" si="564"/>
        <v>429210</v>
      </c>
      <c r="AW247" s="9">
        <f t="shared" si="564"/>
        <v>411913</v>
      </c>
      <c r="AX247" s="9">
        <f t="shared" si="564"/>
        <v>407191</v>
      </c>
      <c r="AY247" s="9">
        <f t="shared" si="564"/>
        <v>403028</v>
      </c>
    </row>
    <row r="248" spans="1:51">
      <c r="A248" s="18"/>
      <c r="C248" s="10" t="s">
        <v>12</v>
      </c>
      <c r="D248" s="8">
        <f>D247/D337*100</f>
        <v>1.9587747970475318</v>
      </c>
      <c r="E248" s="8">
        <f>E247/E337*100</f>
        <v>1.9624655619884208</v>
      </c>
      <c r="F248" s="8">
        <f t="shared" ref="F248:AQ248" si="565">F247/F337*100</f>
        <v>1.9857260805284076</v>
      </c>
      <c r="G248" s="8">
        <f t="shared" si="565"/>
        <v>1.3756665215654238</v>
      </c>
      <c r="H248" s="8">
        <f t="shared" si="565"/>
        <v>1.7375668725812317</v>
      </c>
      <c r="I248" s="8">
        <f t="shared" si="565"/>
        <v>2.6413952288939213</v>
      </c>
      <c r="J248" s="8">
        <f t="shared" si="565"/>
        <v>1.5168194037321487</v>
      </c>
      <c r="K248" s="8">
        <f t="shared" si="565"/>
        <v>1.6579044434445036</v>
      </c>
      <c r="L248" s="8">
        <f t="shared" si="565"/>
        <v>1.5489045191983255</v>
      </c>
      <c r="M248" s="8">
        <f t="shared" si="565"/>
        <v>1.5904004648426624</v>
      </c>
      <c r="N248" s="8">
        <f t="shared" si="565"/>
        <v>1.7704837205480957</v>
      </c>
      <c r="O248" s="8">
        <f t="shared" si="565"/>
        <v>1.7613128389020256</v>
      </c>
      <c r="P248" s="8">
        <f t="shared" si="565"/>
        <v>1.7250089737918977</v>
      </c>
      <c r="Q248" s="8">
        <f t="shared" si="565"/>
        <v>1.6453377676413063</v>
      </c>
      <c r="R248" s="8">
        <f t="shared" si="565"/>
        <v>1.5253566561884684</v>
      </c>
      <c r="S248" s="8">
        <f t="shared" si="565"/>
        <v>1.5960030893078749</v>
      </c>
      <c r="T248" s="8">
        <f t="shared" si="565"/>
        <v>1.6693924514021492</v>
      </c>
      <c r="U248" s="8">
        <f t="shared" si="565"/>
        <v>1.5906098181530488</v>
      </c>
      <c r="V248" s="8">
        <f t="shared" si="565"/>
        <v>1.6647175870214717</v>
      </c>
      <c r="W248" s="8">
        <f t="shared" si="565"/>
        <v>1.3481723355066935</v>
      </c>
      <c r="X248" s="8">
        <f t="shared" si="565"/>
        <v>1.6300304520484643</v>
      </c>
      <c r="Y248" s="8">
        <f t="shared" si="565"/>
        <v>1.5943264865471392</v>
      </c>
      <c r="Z248" s="8">
        <f t="shared" si="565"/>
        <v>1.5127001901136639</v>
      </c>
      <c r="AA248" s="8">
        <f t="shared" si="565"/>
        <v>1.4241910107169156</v>
      </c>
      <c r="AB248" s="8">
        <f t="shared" si="565"/>
        <v>1.5937252527079746</v>
      </c>
      <c r="AC248" s="8">
        <f t="shared" si="565"/>
        <v>1.4772982773816439</v>
      </c>
      <c r="AD248" s="8">
        <f t="shared" si="565"/>
        <v>1.3914450677884658</v>
      </c>
      <c r="AE248" s="8">
        <f t="shared" si="565"/>
        <v>1.4333611061344949</v>
      </c>
      <c r="AF248" s="8">
        <f t="shared" si="565"/>
        <v>1.4586462480652296</v>
      </c>
      <c r="AG248" s="8">
        <f t="shared" si="565"/>
        <v>1.5742069721547176</v>
      </c>
      <c r="AH248" s="8">
        <f t="shared" si="565"/>
        <v>1.6220880412410548</v>
      </c>
      <c r="AI248" s="8">
        <f t="shared" si="565"/>
        <v>1.5072877325481462</v>
      </c>
      <c r="AJ248" s="8">
        <f t="shared" si="565"/>
        <v>1.3080677341245188</v>
      </c>
      <c r="AK248" s="8">
        <f t="shared" si="565"/>
        <v>1.4306088571477102</v>
      </c>
      <c r="AL248" s="8">
        <f t="shared" si="565"/>
        <v>1.4370343045175804</v>
      </c>
      <c r="AM248" s="8">
        <f t="shared" si="565"/>
        <v>1.41698511273553</v>
      </c>
      <c r="AN248" s="8">
        <f t="shared" si="565"/>
        <v>1.377344479572761</v>
      </c>
      <c r="AO248" s="8">
        <f t="shared" si="565"/>
        <v>1.3662057030359946</v>
      </c>
      <c r="AP248" s="8">
        <f t="shared" si="565"/>
        <v>1.3367859998297418</v>
      </c>
      <c r="AQ248" s="8">
        <f t="shared" si="565"/>
        <v>1.3358348684852981</v>
      </c>
      <c r="AR248" s="8">
        <f t="shared" ref="AR248:AW248" si="566">AR247/AR337*100</f>
        <v>1.2418513900351893</v>
      </c>
      <c r="AS248" s="8">
        <f t="shared" si="566"/>
        <v>1.2081639398110176</v>
      </c>
      <c r="AT248" s="40">
        <f t="shared" si="566"/>
        <v>1.2487963954455927</v>
      </c>
      <c r="AU248" s="40">
        <f t="shared" ref="AU248:AV248" si="567">AU247/AU337*100</f>
        <v>1.2325620685234269</v>
      </c>
      <c r="AV248" s="40">
        <f t="shared" si="567"/>
        <v>1.2564999568434176</v>
      </c>
      <c r="AW248" s="40">
        <f t="shared" si="566"/>
        <v>1.2065287296247027</v>
      </c>
      <c r="AX248" s="40">
        <f t="shared" ref="AX248:AY248" si="568">AX247/AX337*100</f>
        <v>1.3365844122565691</v>
      </c>
      <c r="AY248" s="40">
        <f t="shared" si="568"/>
        <v>1.1630145470712259</v>
      </c>
    </row>
    <row r="249" spans="1:51">
      <c r="A249" s="18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AP249" s="4"/>
      <c r="AQ249" s="4"/>
      <c r="AR249" s="4"/>
      <c r="AS249" s="4"/>
      <c r="AT249" s="9"/>
      <c r="AU249" s="9"/>
      <c r="AV249" s="9"/>
      <c r="AW249" s="9"/>
      <c r="AX249" s="9"/>
      <c r="AY249" s="9"/>
    </row>
    <row r="250" spans="1:51" s="22" customFormat="1">
      <c r="A250" s="25" t="s">
        <v>7</v>
      </c>
      <c r="B250" s="22" t="s">
        <v>4</v>
      </c>
      <c r="C250" s="22" t="s">
        <v>8</v>
      </c>
      <c r="D250" s="23">
        <v>1810365</v>
      </c>
      <c r="E250" s="23">
        <v>2237267</v>
      </c>
      <c r="F250" s="23">
        <v>2575727</v>
      </c>
      <c r="G250" s="23">
        <v>3091356</v>
      </c>
      <c r="H250" s="23">
        <v>3390078</v>
      </c>
      <c r="I250" s="23">
        <v>4100557</v>
      </c>
      <c r="J250" s="23">
        <v>4511770</v>
      </c>
      <c r="K250" s="23">
        <v>4879943</v>
      </c>
      <c r="L250" s="23">
        <f>2135304+2723342</f>
        <v>4858646</v>
      </c>
      <c r="M250" s="23">
        <f>2347317+2892706</f>
        <v>5240023</v>
      </c>
      <c r="N250" s="23">
        <f>2171616+3037817</f>
        <v>5209433</v>
      </c>
      <c r="O250" s="23">
        <f>2387804+2783136</f>
        <v>5170940</v>
      </c>
      <c r="P250" s="23">
        <f>2384080+2920143</f>
        <v>5304223</v>
      </c>
      <c r="Q250" s="23">
        <f>2850283+3359225</f>
        <v>6209508</v>
      </c>
      <c r="R250" s="23">
        <f>3135928+3586260</f>
        <v>6722188</v>
      </c>
      <c r="S250" s="23">
        <f>3182767+3820709</f>
        <v>7003476</v>
      </c>
      <c r="T250" s="23">
        <f>3384356+3715879</f>
        <v>7100235</v>
      </c>
      <c r="U250" s="23">
        <f>3514693+4141620</f>
        <v>7656313</v>
      </c>
      <c r="V250" s="23">
        <f>3715939+3801286</f>
        <v>7517225</v>
      </c>
      <c r="W250" s="23">
        <f>3237411+3207621</f>
        <v>6445032</v>
      </c>
      <c r="X250" s="23">
        <f>3435562+3137258</f>
        <v>6572820</v>
      </c>
      <c r="Y250" s="23">
        <f>3221694+2885243</f>
        <v>6106937</v>
      </c>
      <c r="Z250" s="23">
        <f>3597801+3352048</f>
        <v>6949849</v>
      </c>
      <c r="AA250" s="23">
        <f>3312603+3319686</f>
        <v>6632289</v>
      </c>
      <c r="AB250" s="23">
        <f>3550865+3240224</f>
        <v>6791089</v>
      </c>
      <c r="AC250" s="23">
        <f>3522906+3081176</f>
        <v>6604082</v>
      </c>
      <c r="AD250" s="23">
        <v>6731847</v>
      </c>
      <c r="AE250" s="23">
        <v>6388472</v>
      </c>
      <c r="AF250" s="23">
        <v>7100010</v>
      </c>
      <c r="AG250" s="23">
        <v>5578813</v>
      </c>
      <c r="AH250" s="23">
        <v>5724088</v>
      </c>
      <c r="AI250" s="23">
        <v>5221037</v>
      </c>
      <c r="AJ250" s="23">
        <v>4757765</v>
      </c>
      <c r="AK250" s="23">
        <v>4655135</v>
      </c>
      <c r="AL250" s="23">
        <v>4679007</v>
      </c>
      <c r="AM250" s="23">
        <v>3992543</v>
      </c>
      <c r="AN250" s="23">
        <v>3969502</v>
      </c>
      <c r="AO250" s="23">
        <v>3755090</v>
      </c>
      <c r="AP250" s="23">
        <v>3388953</v>
      </c>
      <c r="AQ250" s="23">
        <v>3422308</v>
      </c>
      <c r="AR250" s="23">
        <v>3409660</v>
      </c>
      <c r="AS250" s="23">
        <v>3255629</v>
      </c>
      <c r="AT250" s="23">
        <v>3207954</v>
      </c>
      <c r="AU250" s="23">
        <v>2919362</v>
      </c>
      <c r="AV250" s="39">
        <v>2776312</v>
      </c>
      <c r="AW250" s="39">
        <v>2291887</v>
      </c>
      <c r="AX250" s="39">
        <v>2225149</v>
      </c>
      <c r="AY250" s="39">
        <v>2053574</v>
      </c>
    </row>
    <row r="251" spans="1:51">
      <c r="A251" s="18"/>
      <c r="B251" s="3" t="s">
        <v>21</v>
      </c>
      <c r="C251" s="3" t="s">
        <v>9</v>
      </c>
      <c r="D251" s="4">
        <v>643903</v>
      </c>
      <c r="E251" s="4">
        <v>780998</v>
      </c>
      <c r="F251" s="4">
        <v>857401</v>
      </c>
      <c r="G251" s="4">
        <v>1133782</v>
      </c>
      <c r="H251" s="4">
        <v>1272669</v>
      </c>
      <c r="I251" s="4">
        <v>1505855</v>
      </c>
      <c r="J251" s="4">
        <v>1792193</v>
      </c>
      <c r="K251" s="4">
        <f>460160+1627040</f>
        <v>2087200</v>
      </c>
      <c r="L251" s="4">
        <f>502406+1810037</f>
        <v>2312443</v>
      </c>
      <c r="M251" s="4">
        <f>477220+1743305</f>
        <v>2220525</v>
      </c>
      <c r="N251" s="4">
        <f>561583+1873045</f>
        <v>2434628</v>
      </c>
      <c r="O251" s="4">
        <f>607948+1854691</f>
        <v>2462639</v>
      </c>
      <c r="P251" s="4">
        <f>617230+1976990</f>
        <v>2594220</v>
      </c>
      <c r="Q251" s="4">
        <f>740023+2270997</f>
        <v>3011020</v>
      </c>
      <c r="R251" s="4">
        <f>803840+2345485</f>
        <v>3149325</v>
      </c>
      <c r="S251" s="4">
        <f>796156+2546251</f>
        <v>3342407</v>
      </c>
      <c r="T251" s="4">
        <f>859249+2744432</f>
        <v>3603681</v>
      </c>
      <c r="U251" s="4">
        <f>803040+2900382</f>
        <v>3703422</v>
      </c>
      <c r="V251" s="4">
        <f>810815+2875001</f>
        <v>3685816</v>
      </c>
      <c r="W251" s="4">
        <f>770122+2527894</f>
        <v>3298016</v>
      </c>
      <c r="X251" s="4">
        <f>822824+2968660</f>
        <v>3791484</v>
      </c>
      <c r="Y251" s="4">
        <f>765905+2838287</f>
        <v>3604192</v>
      </c>
      <c r="Z251" s="4">
        <f>828293+3569648</f>
        <v>4397941</v>
      </c>
      <c r="AA251" s="4">
        <f>803922+3915202</f>
        <v>4719124</v>
      </c>
      <c r="AB251" s="4">
        <f>867579+4167190</f>
        <v>5034769</v>
      </c>
      <c r="AC251" s="4">
        <f>818727+3776508</f>
        <v>4595235</v>
      </c>
      <c r="AD251" s="4">
        <v>5055327</v>
      </c>
      <c r="AE251" s="4">
        <v>5178329</v>
      </c>
      <c r="AF251" s="4">
        <v>5423198</v>
      </c>
      <c r="AG251" s="4">
        <v>12774395</v>
      </c>
      <c r="AH251" s="4">
        <v>4386462</v>
      </c>
      <c r="AI251" s="4">
        <v>3992135</v>
      </c>
      <c r="AJ251" s="4">
        <v>3619592</v>
      </c>
      <c r="AK251" s="4">
        <v>3448624</v>
      </c>
      <c r="AL251" s="4">
        <v>3056796</v>
      </c>
      <c r="AM251" s="4">
        <v>2725528</v>
      </c>
      <c r="AN251" s="4">
        <v>2696816</v>
      </c>
      <c r="AO251" s="4">
        <v>2396080</v>
      </c>
      <c r="AP251" s="4">
        <v>2332035</v>
      </c>
      <c r="AQ251" s="4">
        <v>2308563</v>
      </c>
      <c r="AR251" s="4">
        <v>2520135</v>
      </c>
      <c r="AS251" s="4">
        <v>2286647</v>
      </c>
      <c r="AT251" s="4">
        <v>2200795</v>
      </c>
      <c r="AU251" s="4">
        <v>2061847</v>
      </c>
      <c r="AV251" s="4">
        <v>1974993</v>
      </c>
      <c r="AW251" s="4">
        <v>1759909</v>
      </c>
      <c r="AX251" s="4">
        <v>1690661</v>
      </c>
      <c r="AY251" s="4">
        <v>1476264</v>
      </c>
    </row>
    <row r="252" spans="1:51">
      <c r="A252" s="18"/>
      <c r="C252" s="3" t="s">
        <v>11</v>
      </c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AG252" s="4">
        <v>750691</v>
      </c>
      <c r="AH252" s="4">
        <v>1028315</v>
      </c>
      <c r="AI252" s="4">
        <v>1435881</v>
      </c>
      <c r="AJ252" s="4">
        <v>1785222</v>
      </c>
      <c r="AK252" s="4">
        <v>1968396</v>
      </c>
      <c r="AL252" s="4">
        <v>2219840</v>
      </c>
      <c r="AM252" s="4">
        <v>2281911</v>
      </c>
      <c r="AN252" s="4">
        <v>2414945</v>
      </c>
      <c r="AO252" s="4">
        <v>2457192</v>
      </c>
      <c r="AP252" s="4">
        <v>2602116</v>
      </c>
      <c r="AQ252" s="4">
        <v>3090495</v>
      </c>
      <c r="AR252" s="4">
        <v>3498669</v>
      </c>
      <c r="AS252" s="4">
        <v>3955529</v>
      </c>
      <c r="AT252" s="4">
        <v>3961815</v>
      </c>
      <c r="AU252" s="4">
        <v>3997481</v>
      </c>
      <c r="AV252" s="4">
        <v>3978929</v>
      </c>
      <c r="AW252" s="4">
        <v>3887249</v>
      </c>
      <c r="AX252" s="4">
        <v>3955702</v>
      </c>
      <c r="AY252" s="4">
        <v>3425756</v>
      </c>
    </row>
    <row r="253" spans="1:51">
      <c r="A253" s="18"/>
      <c r="C253" s="3" t="s">
        <v>26</v>
      </c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AM253" s="4">
        <v>58006</v>
      </c>
      <c r="AN253" s="4">
        <v>106443</v>
      </c>
      <c r="AO253" s="4">
        <v>181210</v>
      </c>
      <c r="AP253" s="4">
        <v>125052</v>
      </c>
      <c r="AQ253" s="4">
        <v>135296</v>
      </c>
      <c r="AR253" s="4">
        <v>158621</v>
      </c>
      <c r="AS253" s="4">
        <v>199779</v>
      </c>
      <c r="AT253" s="4">
        <v>296850</v>
      </c>
      <c r="AU253" s="4">
        <v>264565</v>
      </c>
      <c r="AV253" s="4">
        <v>260520</v>
      </c>
      <c r="AW253" s="4">
        <v>390955</v>
      </c>
      <c r="AX253" s="4">
        <v>411104</v>
      </c>
      <c r="AY253" s="4">
        <v>343143</v>
      </c>
    </row>
    <row r="254" spans="1:51">
      <c r="A254" s="18"/>
      <c r="C254" s="3" t="s">
        <v>24</v>
      </c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AM254" s="4">
        <v>867600</v>
      </c>
      <c r="AN254" s="4">
        <v>1133834</v>
      </c>
      <c r="AO254" s="4">
        <v>1024267</v>
      </c>
      <c r="AP254" s="4">
        <v>993917</v>
      </c>
      <c r="AQ254" s="4">
        <v>1139044</v>
      </c>
      <c r="AR254" s="4">
        <v>1282682</v>
      </c>
      <c r="AS254" s="4">
        <v>1345921</v>
      </c>
      <c r="AT254" s="4">
        <v>1393098</v>
      </c>
      <c r="AU254" s="4">
        <v>1401599</v>
      </c>
      <c r="AV254" s="4">
        <v>1666113</v>
      </c>
      <c r="AW254" s="4">
        <v>1446238</v>
      </c>
      <c r="AX254" s="4">
        <v>1419342</v>
      </c>
      <c r="AY254" s="4">
        <v>1398565</v>
      </c>
    </row>
    <row r="255" spans="1:51">
      <c r="A255" s="18"/>
      <c r="C255" s="3" t="s">
        <v>10</v>
      </c>
      <c r="D255" s="4">
        <v>52523</v>
      </c>
      <c r="E255" s="4">
        <v>76117</v>
      </c>
      <c r="F255" s="4">
        <v>146858</v>
      </c>
      <c r="G255" s="4">
        <v>117637</v>
      </c>
      <c r="H255" s="4">
        <v>218666</v>
      </c>
      <c r="I255" s="4">
        <v>294249</v>
      </c>
      <c r="J255" s="4">
        <v>258680</v>
      </c>
      <c r="K255" s="4">
        <v>350637</v>
      </c>
      <c r="L255" s="4">
        <v>467953</v>
      </c>
      <c r="M255" s="4">
        <v>458116</v>
      </c>
      <c r="N255" s="4">
        <v>521131</v>
      </c>
      <c r="O255" s="4">
        <v>496180</v>
      </c>
      <c r="P255" s="4">
        <v>661125</v>
      </c>
      <c r="Q255" s="4">
        <v>581479</v>
      </c>
      <c r="R255" s="4">
        <v>679663</v>
      </c>
      <c r="S255" s="4">
        <v>756566</v>
      </c>
      <c r="T255" s="4">
        <v>826259</v>
      </c>
      <c r="U255" s="4">
        <v>963338</v>
      </c>
      <c r="V255" s="4">
        <v>1148802</v>
      </c>
      <c r="W255" s="4">
        <v>964324</v>
      </c>
      <c r="X255" s="4">
        <v>1198937</v>
      </c>
      <c r="Y255" s="4">
        <v>1113522</v>
      </c>
      <c r="Z255" s="4">
        <v>1309288</v>
      </c>
      <c r="AA255" s="4">
        <v>1450044</v>
      </c>
      <c r="AB255" s="4">
        <v>1566012</v>
      </c>
      <c r="AC255" s="4">
        <v>1506071</v>
      </c>
      <c r="AD255" s="4">
        <v>1306548</v>
      </c>
      <c r="AE255" s="4">
        <v>1446600</v>
      </c>
      <c r="AF255" s="4">
        <v>1368152</v>
      </c>
      <c r="AG255" s="4">
        <v>955013</v>
      </c>
      <c r="AH255" s="4">
        <v>1111840</v>
      </c>
      <c r="AI255" s="4">
        <v>1059213</v>
      </c>
      <c r="AJ255" s="4">
        <v>1122875</v>
      </c>
      <c r="AK255" s="4">
        <v>1123262</v>
      </c>
      <c r="AL255" s="4">
        <v>1180327</v>
      </c>
      <c r="AM255" s="4">
        <v>568698</v>
      </c>
      <c r="AN255" s="4">
        <v>541027</v>
      </c>
      <c r="AO255" s="4">
        <v>495474</v>
      </c>
      <c r="AP255" s="4">
        <v>468688</v>
      </c>
      <c r="AQ255" s="4">
        <v>414599</v>
      </c>
      <c r="AR255" s="4">
        <v>470749</v>
      </c>
      <c r="AS255" s="4">
        <v>482918</v>
      </c>
      <c r="AT255" s="4">
        <v>457654</v>
      </c>
      <c r="AU255" s="4">
        <v>420629</v>
      </c>
      <c r="AV255" s="4">
        <v>475195</v>
      </c>
      <c r="AW255" s="4">
        <v>421890</v>
      </c>
      <c r="AX255" s="4">
        <v>383441</v>
      </c>
      <c r="AY255" s="4">
        <v>356786</v>
      </c>
    </row>
    <row r="256" spans="1:51">
      <c r="A256" s="18"/>
      <c r="C256" s="3" t="s">
        <v>17</v>
      </c>
      <c r="D256" s="4">
        <v>2506791</v>
      </c>
      <c r="E256" s="4">
        <v>3094382</v>
      </c>
      <c r="F256" s="4">
        <v>3579986</v>
      </c>
      <c r="G256" s="4">
        <v>4342775</v>
      </c>
      <c r="H256" s="4">
        <v>4881413</v>
      </c>
      <c r="I256" s="4">
        <v>5900661</v>
      </c>
      <c r="J256" s="4">
        <v>6562643</v>
      </c>
      <c r="K256" s="4">
        <v>7317780</v>
      </c>
      <c r="L256" s="4">
        <v>7639042</v>
      </c>
      <c r="M256" s="4">
        <v>7918664</v>
      </c>
      <c r="N256" s="4">
        <v>8165192</v>
      </c>
      <c r="O256" s="4">
        <v>8129759</v>
      </c>
      <c r="P256" s="4">
        <v>8559568</v>
      </c>
      <c r="Q256" s="4">
        <v>9802007</v>
      </c>
      <c r="R256" s="4">
        <v>10551176</v>
      </c>
      <c r="S256" s="4">
        <v>11102449</v>
      </c>
      <c r="T256" s="4">
        <v>11530175</v>
      </c>
      <c r="U256" s="4">
        <v>12323073</v>
      </c>
      <c r="V256" s="4">
        <v>12351843</v>
      </c>
      <c r="W256" s="4">
        <v>10707372</v>
      </c>
      <c r="X256" s="4">
        <v>11563241</v>
      </c>
      <c r="Y256" s="4">
        <v>10824651</v>
      </c>
      <c r="Z256" s="4">
        <v>12657078</v>
      </c>
      <c r="AA256" s="4">
        <v>12801457</v>
      </c>
      <c r="AB256" s="4">
        <v>13391870</v>
      </c>
      <c r="AC256" s="4">
        <v>12705388</v>
      </c>
      <c r="AD256" s="4">
        <v>13093722</v>
      </c>
      <c r="AE256" s="4">
        <v>13013401</v>
      </c>
      <c r="AF256" s="4">
        <v>13891360</v>
      </c>
      <c r="AG256" s="4">
        <v>20058912</v>
      </c>
      <c r="AH256" s="4">
        <v>12250705</v>
      </c>
      <c r="AI256" s="4">
        <v>11708266</v>
      </c>
      <c r="AJ256" s="4">
        <v>11285454</v>
      </c>
      <c r="AK256" s="4">
        <v>11195417</v>
      </c>
      <c r="AL256" s="4">
        <v>11135970</v>
      </c>
      <c r="AM256" s="4">
        <v>10494316</v>
      </c>
      <c r="AN256" s="4">
        <v>10862567</v>
      </c>
      <c r="AO256" s="4">
        <v>10309313</v>
      </c>
      <c r="AP256" s="4">
        <v>9910761</v>
      </c>
      <c r="AQ256" s="4">
        <v>10510305</v>
      </c>
      <c r="AR256" s="4">
        <v>11340516</v>
      </c>
      <c r="AS256" s="4">
        <v>11526423</v>
      </c>
      <c r="AT256" s="9">
        <f t="shared" ref="AT256:AY256" si="569">SUM(AT250:AT255)</f>
        <v>11518166</v>
      </c>
      <c r="AU256" s="9">
        <f t="shared" si="569"/>
        <v>11065483</v>
      </c>
      <c r="AV256" s="9">
        <f t="shared" si="569"/>
        <v>11132062</v>
      </c>
      <c r="AW256" s="9">
        <f t="shared" si="569"/>
        <v>10198128</v>
      </c>
      <c r="AX256" s="9">
        <f t="shared" si="569"/>
        <v>10085399</v>
      </c>
      <c r="AY256" s="9">
        <f t="shared" si="569"/>
        <v>9054088</v>
      </c>
    </row>
    <row r="257" spans="1:51">
      <c r="A257" s="18"/>
      <c r="C257" s="10" t="s">
        <v>12</v>
      </c>
      <c r="D257" s="8">
        <f t="shared" ref="D257:AC257" si="570">D256/D320*100</f>
        <v>2.1251375477920291</v>
      </c>
      <c r="E257" s="8">
        <f t="shared" ref="E257" si="571">E256/E320*100</f>
        <v>1.4936006101092791</v>
      </c>
      <c r="F257" s="8">
        <f t="shared" si="570"/>
        <v>1.7732974049325601</v>
      </c>
      <c r="G257" s="8">
        <f t="shared" si="570"/>
        <v>1.8374027941139139</v>
      </c>
      <c r="H257" s="8">
        <f t="shared" si="570"/>
        <v>1.9478502648145941</v>
      </c>
      <c r="I257" s="8">
        <f t="shared" si="570"/>
        <v>2.3074268449605189</v>
      </c>
      <c r="J257" s="8">
        <f t="shared" si="570"/>
        <v>2.104778440197745</v>
      </c>
      <c r="K257" s="8">
        <f t="shared" si="570"/>
        <v>2.2097609191470977</v>
      </c>
      <c r="L257" s="8">
        <f t="shared" si="570"/>
        <v>2.4110530903428113</v>
      </c>
      <c r="M257" s="8">
        <f t="shared" si="570"/>
        <v>2.2101474410080297</v>
      </c>
      <c r="N257" s="8">
        <f t="shared" si="570"/>
        <v>2.0415568540974234</v>
      </c>
      <c r="O257" s="8">
        <f t="shared" si="570"/>
        <v>2.0443273448533161</v>
      </c>
      <c r="P257" s="8">
        <f t="shared" si="570"/>
        <v>2.1638508927943221</v>
      </c>
      <c r="Q257" s="8">
        <f t="shared" si="570"/>
        <v>2.228833843472986</v>
      </c>
      <c r="R257" s="8">
        <f t="shared" si="570"/>
        <v>2.3405828566796223</v>
      </c>
      <c r="S257" s="8">
        <f t="shared" si="570"/>
        <v>2.3642465640019528</v>
      </c>
      <c r="T257" s="8">
        <f t="shared" si="570"/>
        <v>2.1364359109962896</v>
      </c>
      <c r="U257" s="8">
        <f t="shared" si="570"/>
        <v>2.2309804144398044</v>
      </c>
      <c r="V257" s="8">
        <f t="shared" si="570"/>
        <v>2.0950194832758386</v>
      </c>
      <c r="W257" s="8">
        <f t="shared" si="570"/>
        <v>2.0646773070657041</v>
      </c>
      <c r="X257" s="8">
        <f t="shared" si="570"/>
        <v>1.9766061714765311</v>
      </c>
      <c r="Y257" s="8">
        <f t="shared" si="570"/>
        <v>2.0094104700807698</v>
      </c>
      <c r="Z257" s="8">
        <f t="shared" si="570"/>
        <v>1.9929013188565541</v>
      </c>
      <c r="AA257" s="8">
        <f t="shared" si="570"/>
        <v>2.2295855503087321</v>
      </c>
      <c r="AB257" s="8">
        <f t="shared" si="570"/>
        <v>2.2262307879691865</v>
      </c>
      <c r="AC257" s="8">
        <f t="shared" si="570"/>
        <v>2.0657260159575768</v>
      </c>
      <c r="AD257" s="8">
        <f>AD256/AD320*100</f>
        <v>2.0642030142846828</v>
      </c>
      <c r="AE257" s="8">
        <f t="shared" ref="AE257:AQ257" si="572">AE256/AE320*100</f>
        <v>1.9023924152102361</v>
      </c>
      <c r="AF257" s="8">
        <f t="shared" si="572"/>
        <v>2.0797512538833867</v>
      </c>
      <c r="AG257" s="8">
        <f t="shared" si="572"/>
        <v>2.838452218313205</v>
      </c>
      <c r="AH257" s="8">
        <f t="shared" si="572"/>
        <v>1.7600985543297702</v>
      </c>
      <c r="AI257" s="8">
        <f t="shared" si="572"/>
        <v>1.6160267253057379</v>
      </c>
      <c r="AJ257" s="8">
        <f t="shared" si="572"/>
        <v>1.629777281473797</v>
      </c>
      <c r="AK257" s="8">
        <f t="shared" si="572"/>
        <v>1.5613861874423434</v>
      </c>
      <c r="AL257" s="8">
        <f t="shared" si="572"/>
        <v>1.4846604366453036</v>
      </c>
      <c r="AM257" s="8">
        <f t="shared" si="572"/>
        <v>1.4611020783112652</v>
      </c>
      <c r="AN257" s="8">
        <f t="shared" si="572"/>
        <v>1.42782029316597</v>
      </c>
      <c r="AO257" s="8">
        <f t="shared" si="572"/>
        <v>1.3758622022672342</v>
      </c>
      <c r="AP257" s="8">
        <f t="shared" si="572"/>
        <v>1.2757463579037851</v>
      </c>
      <c r="AQ257" s="8">
        <f t="shared" si="572"/>
        <v>1.1694930598331561</v>
      </c>
      <c r="AR257" s="8">
        <f t="shared" ref="AR257:AW257" si="573">AR256/AR320*100</f>
        <v>1.234871569242272</v>
      </c>
      <c r="AS257" s="8">
        <f t="shared" si="573"/>
        <v>1.2578737980216133</v>
      </c>
      <c r="AT257" s="40">
        <f t="shared" si="573"/>
        <v>1.2111106989664837</v>
      </c>
      <c r="AU257" s="40">
        <f t="shared" ref="AU257:AV257" si="574">AU256/AU320*100</f>
        <v>1.1867633089483762</v>
      </c>
      <c r="AV257" s="40">
        <f t="shared" si="574"/>
        <v>1.1730044823115646</v>
      </c>
      <c r="AW257" s="40">
        <f t="shared" si="573"/>
        <v>0.98945596160900062</v>
      </c>
      <c r="AX257" s="40">
        <f t="shared" ref="AX257:AY257" si="575">AX256/AX320*100</f>
        <v>1.0288422204979479</v>
      </c>
      <c r="AY257" s="40">
        <f t="shared" si="575"/>
        <v>1.3420868722699066</v>
      </c>
    </row>
    <row r="258" spans="1:51">
      <c r="A258" s="18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</row>
    <row r="259" spans="1:51" s="2" customFormat="1">
      <c r="A259" s="19"/>
      <c r="C259" s="3"/>
      <c r="D259" s="1">
        <f t="shared" ref="D259:AQ259" si="576">D2</f>
        <v>1975</v>
      </c>
      <c r="E259" s="1">
        <f t="shared" ref="E259" si="577">E2</f>
        <v>76</v>
      </c>
      <c r="F259" s="1">
        <f t="shared" si="576"/>
        <v>77</v>
      </c>
      <c r="G259" s="1">
        <f t="shared" si="576"/>
        <v>78</v>
      </c>
      <c r="H259" s="1">
        <f t="shared" si="576"/>
        <v>79</v>
      </c>
      <c r="I259" s="1">
        <f t="shared" si="576"/>
        <v>80</v>
      </c>
      <c r="J259" s="1">
        <f t="shared" si="576"/>
        <v>81</v>
      </c>
      <c r="K259" s="1">
        <f t="shared" si="576"/>
        <v>82</v>
      </c>
      <c r="L259" s="1">
        <f t="shared" si="576"/>
        <v>83</v>
      </c>
      <c r="M259" s="1">
        <f t="shared" si="576"/>
        <v>84</v>
      </c>
      <c r="N259" s="1">
        <f t="shared" si="576"/>
        <v>85</v>
      </c>
      <c r="O259" s="1">
        <f t="shared" si="576"/>
        <v>86</v>
      </c>
      <c r="P259" s="1">
        <f t="shared" si="576"/>
        <v>87</v>
      </c>
      <c r="Q259" s="1">
        <f t="shared" si="576"/>
        <v>88</v>
      </c>
      <c r="R259" s="1">
        <f t="shared" si="576"/>
        <v>89</v>
      </c>
      <c r="S259" s="1" t="str">
        <f t="shared" si="576"/>
        <v>90</v>
      </c>
      <c r="T259" s="1" t="str">
        <f t="shared" si="576"/>
        <v>91</v>
      </c>
      <c r="U259" s="1" t="str">
        <f t="shared" si="576"/>
        <v>92</v>
      </c>
      <c r="V259" s="1" t="str">
        <f t="shared" si="576"/>
        <v>93</v>
      </c>
      <c r="W259" s="1" t="str">
        <f t="shared" si="576"/>
        <v>94</v>
      </c>
      <c r="X259" s="1" t="str">
        <f t="shared" si="576"/>
        <v>95</v>
      </c>
      <c r="Y259" s="1" t="str">
        <f t="shared" si="576"/>
        <v>96</v>
      </c>
      <c r="Z259" s="1" t="str">
        <f t="shared" si="576"/>
        <v>97</v>
      </c>
      <c r="AA259" s="1" t="str">
        <f t="shared" si="576"/>
        <v>98</v>
      </c>
      <c r="AB259" s="1" t="str">
        <f t="shared" si="576"/>
        <v>99</v>
      </c>
      <c r="AC259" s="1" t="str">
        <f t="shared" si="576"/>
        <v>2000</v>
      </c>
      <c r="AD259" s="1" t="str">
        <f t="shared" si="576"/>
        <v>01</v>
      </c>
      <c r="AE259" s="1" t="str">
        <f t="shared" si="576"/>
        <v>02</v>
      </c>
      <c r="AF259" s="1" t="str">
        <f t="shared" si="576"/>
        <v>03</v>
      </c>
      <c r="AG259" s="1" t="str">
        <f t="shared" si="576"/>
        <v>04</v>
      </c>
      <c r="AH259" s="1" t="str">
        <f t="shared" si="576"/>
        <v>05</v>
      </c>
      <c r="AI259" s="1" t="str">
        <f t="shared" si="576"/>
        <v>06</v>
      </c>
      <c r="AJ259" s="1" t="str">
        <f t="shared" si="576"/>
        <v>07</v>
      </c>
      <c r="AK259" s="1" t="str">
        <f t="shared" si="576"/>
        <v>08</v>
      </c>
      <c r="AL259" s="1" t="str">
        <f t="shared" si="576"/>
        <v>09</v>
      </c>
      <c r="AM259" s="1" t="str">
        <f t="shared" si="576"/>
        <v>10</v>
      </c>
      <c r="AN259" s="1" t="str">
        <f t="shared" si="576"/>
        <v>11</v>
      </c>
      <c r="AO259" s="1" t="str">
        <f t="shared" si="576"/>
        <v>12</v>
      </c>
      <c r="AP259" s="1" t="str">
        <f t="shared" si="576"/>
        <v>13</v>
      </c>
      <c r="AQ259" s="1" t="str">
        <f t="shared" si="576"/>
        <v>14</v>
      </c>
      <c r="AR259" s="1" t="str">
        <f t="shared" ref="AR259:AS259" si="578">AR2</f>
        <v>15</v>
      </c>
      <c r="AS259" s="1" t="str">
        <f t="shared" si="578"/>
        <v>16</v>
      </c>
      <c r="AT259" s="1" t="str">
        <f t="shared" ref="AT259" si="579">AT2</f>
        <v>17</v>
      </c>
      <c r="AU259" s="1">
        <v>18</v>
      </c>
      <c r="AV259" s="1">
        <v>19</v>
      </c>
      <c r="AW259" s="1">
        <v>20</v>
      </c>
      <c r="AX259" s="1">
        <v>21</v>
      </c>
      <c r="AY259" s="1">
        <v>22</v>
      </c>
    </row>
    <row r="260" spans="1:51">
      <c r="A260" s="18" t="s">
        <v>7</v>
      </c>
      <c r="B260" s="3" t="s">
        <v>29</v>
      </c>
      <c r="C260" s="3" t="s">
        <v>8</v>
      </c>
      <c r="D260" s="4">
        <f t="shared" ref="D260:Q260" si="580">D250/D355</f>
        <v>82289.318181818177</v>
      </c>
      <c r="E260" s="4">
        <f t="shared" ref="E260" si="581">E250/E355</f>
        <v>97272.478260869568</v>
      </c>
      <c r="F260" s="4">
        <f t="shared" ref="F260" si="582">F250/F355</f>
        <v>111988.13043478261</v>
      </c>
      <c r="G260" s="4">
        <f t="shared" ref="G260" si="583">G250/G355</f>
        <v>128806.5</v>
      </c>
      <c r="H260" s="4">
        <f t="shared" ref="H260" si="584">H250/H355</f>
        <v>141253.25</v>
      </c>
      <c r="I260" s="4">
        <f t="shared" ref="I260" si="585">I250/I355</f>
        <v>164022.28</v>
      </c>
      <c r="J260" s="4">
        <f t="shared" ref="J260" si="586">J250/J355</f>
        <v>180470.8</v>
      </c>
      <c r="K260" s="4">
        <f t="shared" ref="K260" si="587">K250/K355</f>
        <v>195197.72</v>
      </c>
      <c r="L260" s="4">
        <f t="shared" ref="L260" si="588">L250/L355</f>
        <v>194345.84</v>
      </c>
      <c r="M260" s="4">
        <f t="shared" ref="M260" si="589">M250/M355</f>
        <v>209600.92</v>
      </c>
      <c r="N260" s="4">
        <f t="shared" ref="N260" si="590">N250/N355</f>
        <v>208377.32</v>
      </c>
      <c r="O260" s="4">
        <f t="shared" ref="O260" si="591">O250/O355</f>
        <v>184676.42857142858</v>
      </c>
      <c r="P260" s="4">
        <f t="shared" ref="P260" si="592">P250/P355</f>
        <v>182904.24137931035</v>
      </c>
      <c r="Q260" s="4">
        <f t="shared" si="580"/>
        <v>188166.90909090909</v>
      </c>
      <c r="R260" s="4">
        <f t="shared" ref="R260:Y260" si="593">R250/R355</f>
        <v>186727.44444444444</v>
      </c>
      <c r="S260" s="4">
        <f t="shared" si="593"/>
        <v>194541</v>
      </c>
      <c r="T260" s="4">
        <f t="shared" si="593"/>
        <v>197228.75</v>
      </c>
      <c r="U260" s="4">
        <f t="shared" si="593"/>
        <v>206927.37837837837</v>
      </c>
      <c r="V260" s="4">
        <f t="shared" si="593"/>
        <v>203168.24324324325</v>
      </c>
      <c r="W260" s="4">
        <f t="shared" si="593"/>
        <v>189559.76470588235</v>
      </c>
      <c r="X260" s="4">
        <f t="shared" si="593"/>
        <v>182578.33333333334</v>
      </c>
      <c r="Y260" s="4">
        <f t="shared" si="593"/>
        <v>174483.91428571427</v>
      </c>
      <c r="Z260" s="4">
        <f t="shared" ref="Z260" si="594">Z250/Z355</f>
        <v>187833.75675675675</v>
      </c>
      <c r="AA260" s="4">
        <f t="shared" ref="AA260" si="595">AA250/AA355</f>
        <v>170058.69230769231</v>
      </c>
      <c r="AB260" s="4">
        <f t="shared" ref="AB260" si="596">AB250/AB355</f>
        <v>161692.59523809524</v>
      </c>
      <c r="AC260" s="4">
        <f t="shared" ref="AC260" si="597">AC250/AC355</f>
        <v>161075.17073170733</v>
      </c>
      <c r="AD260" s="4">
        <f t="shared" ref="AD260" si="598">AD250/AD355</f>
        <v>152996.52272727274</v>
      </c>
      <c r="AE260" s="4">
        <f t="shared" ref="AE260" si="599">AE250/AE355</f>
        <v>135924.93617021278</v>
      </c>
      <c r="AF260" s="4">
        <f t="shared" ref="AF260" si="600">AF250/AF355</f>
        <v>147916.875</v>
      </c>
      <c r="AG260" s="4">
        <f t="shared" ref="AG260:AH260" si="601">AG250/AG355</f>
        <v>109388.49019607843</v>
      </c>
      <c r="AH260" s="4">
        <f t="shared" si="601"/>
        <v>98691.172413793101</v>
      </c>
      <c r="AI260" s="4">
        <f t="shared" ref="AI260:AJ260" si="602">AI250/AI355</f>
        <v>87017.28333333334</v>
      </c>
      <c r="AJ260" s="4">
        <f t="shared" si="602"/>
        <v>77996.147540983613</v>
      </c>
      <c r="AK260" s="4">
        <f t="shared" ref="AK260:AQ260" si="603">AK250/AK355</f>
        <v>72736.484375</v>
      </c>
      <c r="AL260" s="4">
        <f t="shared" si="603"/>
        <v>71984.723076923081</v>
      </c>
      <c r="AM260" s="4">
        <f t="shared" si="603"/>
        <v>61423.738461538458</v>
      </c>
      <c r="AN260" s="4">
        <f t="shared" si="603"/>
        <v>56707.171428571426</v>
      </c>
      <c r="AO260" s="4">
        <f t="shared" si="603"/>
        <v>55221.911764705881</v>
      </c>
      <c r="AP260" s="4">
        <f t="shared" si="603"/>
        <v>52952.390625</v>
      </c>
      <c r="AQ260" s="4">
        <f t="shared" si="603"/>
        <v>51853.151515151512</v>
      </c>
      <c r="AR260" s="4">
        <f t="shared" ref="AR260" si="604">AR250/AR355</f>
        <v>48023.380281690144</v>
      </c>
      <c r="AS260" s="4">
        <v>43995</v>
      </c>
      <c r="AT260" s="9">
        <f t="shared" ref="AT260:AY260" si="605">ROUND(AT250/AT$355,0)</f>
        <v>40099</v>
      </c>
      <c r="AU260" s="9">
        <f t="shared" si="605"/>
        <v>34754</v>
      </c>
      <c r="AV260" s="9">
        <f t="shared" si="605"/>
        <v>31549</v>
      </c>
      <c r="AW260" s="9">
        <f t="shared" si="605"/>
        <v>26344</v>
      </c>
      <c r="AX260" s="9">
        <f t="shared" si="605"/>
        <v>26178</v>
      </c>
      <c r="AY260" s="9">
        <f t="shared" si="605"/>
        <v>25353</v>
      </c>
    </row>
    <row r="261" spans="1:51">
      <c r="A261" s="18"/>
      <c r="B261" s="3" t="s">
        <v>21</v>
      </c>
      <c r="C261" s="3" t="s">
        <v>9</v>
      </c>
      <c r="D261" s="4">
        <f t="shared" ref="D261:Q261" si="606">D251/D355</f>
        <v>29268.31818181818</v>
      </c>
      <c r="E261" s="4">
        <f t="shared" ref="E261" si="607">E251/E355</f>
        <v>33956.434782608696</v>
      </c>
      <c r="F261" s="4">
        <f t="shared" ref="F261" si="608">F251/F355</f>
        <v>37278.304347826088</v>
      </c>
      <c r="G261" s="4">
        <f t="shared" ref="G261" si="609">G251/G355</f>
        <v>47240.916666666664</v>
      </c>
      <c r="H261" s="4">
        <f t="shared" ref="H261" si="610">H251/H355</f>
        <v>53027.875</v>
      </c>
      <c r="I261" s="4">
        <f t="shared" ref="I261" si="611">I251/I355</f>
        <v>60234.2</v>
      </c>
      <c r="J261" s="4">
        <f t="shared" ref="J261" si="612">J251/J355</f>
        <v>71687.72</v>
      </c>
      <c r="K261" s="4">
        <f t="shared" ref="K261" si="613">K251/K355</f>
        <v>83488</v>
      </c>
      <c r="L261" s="4">
        <f t="shared" ref="L261" si="614">L251/L355</f>
        <v>92497.72</v>
      </c>
      <c r="M261" s="4">
        <f t="shared" ref="M261" si="615">M251/M355</f>
        <v>88821</v>
      </c>
      <c r="N261" s="4">
        <f t="shared" ref="N261" si="616">N251/N355</f>
        <v>97385.12</v>
      </c>
      <c r="O261" s="4">
        <f t="shared" ref="O261" si="617">O251/O355</f>
        <v>87951.392857142855</v>
      </c>
      <c r="P261" s="4">
        <f t="shared" ref="P261" si="618">P251/P355</f>
        <v>89455.862068965522</v>
      </c>
      <c r="Q261" s="4">
        <f t="shared" si="606"/>
        <v>91243.030303030304</v>
      </c>
      <c r="R261" s="4">
        <f t="shared" ref="R261:Y261" si="619">R251/R355</f>
        <v>87481.25</v>
      </c>
      <c r="S261" s="4">
        <f t="shared" si="619"/>
        <v>92844.638888888891</v>
      </c>
      <c r="T261" s="4">
        <f t="shared" si="619"/>
        <v>100102.25</v>
      </c>
      <c r="U261" s="4">
        <f t="shared" si="619"/>
        <v>100092.48648648648</v>
      </c>
      <c r="V261" s="4">
        <f t="shared" si="619"/>
        <v>99616.648648648654</v>
      </c>
      <c r="W261" s="4">
        <f t="shared" si="619"/>
        <v>97000.470588235301</v>
      </c>
      <c r="X261" s="4">
        <f t="shared" si="619"/>
        <v>105319</v>
      </c>
      <c r="Y261" s="4">
        <f t="shared" si="619"/>
        <v>102976.91428571429</v>
      </c>
      <c r="Z261" s="4">
        <f t="shared" ref="Z261" si="620">Z251/Z355</f>
        <v>118863.27027027027</v>
      </c>
      <c r="AA261" s="4">
        <f t="shared" ref="AA261" si="621">AA251/AA355</f>
        <v>121003.17948717948</v>
      </c>
      <c r="AB261" s="4">
        <f t="shared" ref="AB261" si="622">AB251/AB355</f>
        <v>119875.45238095238</v>
      </c>
      <c r="AC261" s="4">
        <f t="shared" ref="AC261" si="623">AC251/AC355</f>
        <v>112078.90243902439</v>
      </c>
      <c r="AD261" s="4">
        <f t="shared" ref="AD261" si="624">AD251/AD355</f>
        <v>114893.79545454546</v>
      </c>
      <c r="AE261" s="4">
        <f t="shared" ref="AE261" si="625">AE251/AE355</f>
        <v>110177.21276595745</v>
      </c>
      <c r="AF261" s="4">
        <f t="shared" ref="AF261" si="626">AF251/AF355</f>
        <v>112983.29166666667</v>
      </c>
      <c r="AG261" s="4">
        <f t="shared" ref="AG261:AH261" si="627">AG251/AG355</f>
        <v>250478.33333333334</v>
      </c>
      <c r="AH261" s="4">
        <f t="shared" si="627"/>
        <v>75628.655172413797</v>
      </c>
      <c r="AI261" s="4">
        <f t="shared" ref="AI261:AJ261" si="628">AI251/AI355</f>
        <v>66535.583333333328</v>
      </c>
      <c r="AJ261" s="4">
        <f t="shared" si="628"/>
        <v>59337.573770491806</v>
      </c>
      <c r="AK261" s="4">
        <f t="shared" ref="AK261:AQ261" si="629">AK251/AK355</f>
        <v>53884.75</v>
      </c>
      <c r="AL261" s="4">
        <f t="shared" si="629"/>
        <v>47027.630769230767</v>
      </c>
      <c r="AM261" s="4">
        <f t="shared" si="629"/>
        <v>41931.199999999997</v>
      </c>
      <c r="AN261" s="4">
        <f t="shared" si="629"/>
        <v>38525.942857142858</v>
      </c>
      <c r="AO261" s="4">
        <f t="shared" si="629"/>
        <v>35236.470588235294</v>
      </c>
      <c r="AP261" s="4">
        <f t="shared" si="629"/>
        <v>36438.046875</v>
      </c>
      <c r="AQ261" s="4">
        <f t="shared" si="629"/>
        <v>34978.227272727272</v>
      </c>
      <c r="AR261" s="4">
        <f t="shared" ref="AR261" si="630">AR251/AR355</f>
        <v>35494.859154929574</v>
      </c>
      <c r="AS261" s="4">
        <v>30901</v>
      </c>
      <c r="AT261" s="9">
        <f t="shared" ref="AT261" si="631">ROUND(AT251/AT$355,0)</f>
        <v>27510</v>
      </c>
      <c r="AU261" s="9">
        <f t="shared" ref="AU261:AV261" si="632">ROUND(AU251/AU$355,0)</f>
        <v>24546</v>
      </c>
      <c r="AV261" s="9">
        <f t="shared" si="632"/>
        <v>22443</v>
      </c>
      <c r="AW261" s="9">
        <f t="shared" ref="AW261:AX265" si="633">ROUND(AW251/AW$355,0)</f>
        <v>20229</v>
      </c>
      <c r="AX261" s="9">
        <f t="shared" si="633"/>
        <v>19890</v>
      </c>
      <c r="AY261" s="9">
        <f t="shared" ref="AY261" si="634">ROUND(AY251/AY$355,0)</f>
        <v>18225</v>
      </c>
    </row>
    <row r="262" spans="1:51">
      <c r="A262" s="18"/>
      <c r="C262" s="3" t="s">
        <v>11</v>
      </c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AG262" s="4">
        <f t="shared" ref="AG262:AH262" si="635">AG252/AG355</f>
        <v>14719.431372549019</v>
      </c>
      <c r="AH262" s="4">
        <f t="shared" si="635"/>
        <v>17729.568965517243</v>
      </c>
      <c r="AI262" s="4">
        <f t="shared" ref="AI262:AJ262" si="636">AI252/AI355</f>
        <v>23931.35</v>
      </c>
      <c r="AJ262" s="4">
        <f t="shared" si="636"/>
        <v>29265.934426229509</v>
      </c>
      <c r="AK262" s="4">
        <f t="shared" ref="AK262:AQ262" si="637">AK252/AK355</f>
        <v>30756.1875</v>
      </c>
      <c r="AL262" s="4">
        <f t="shared" si="637"/>
        <v>34151.384615384617</v>
      </c>
      <c r="AM262" s="4">
        <f t="shared" si="637"/>
        <v>35106.323076923079</v>
      </c>
      <c r="AN262" s="4">
        <f t="shared" si="637"/>
        <v>34499.214285714283</v>
      </c>
      <c r="AO262" s="4">
        <f t="shared" si="637"/>
        <v>36135.176470588238</v>
      </c>
      <c r="AP262" s="4">
        <f t="shared" si="637"/>
        <v>40658.0625</v>
      </c>
      <c r="AQ262" s="4">
        <f t="shared" si="637"/>
        <v>46825.681818181816</v>
      </c>
      <c r="AR262" s="4">
        <f t="shared" ref="AR262" si="638">AR252/AR355</f>
        <v>49277.028169014084</v>
      </c>
      <c r="AS262" s="4">
        <v>53453</v>
      </c>
      <c r="AT262" s="9">
        <f t="shared" ref="AT262" si="639">ROUND(AT252/AT$355,0)</f>
        <v>49523</v>
      </c>
      <c r="AU262" s="9">
        <f t="shared" ref="AU262:AV262" si="640">ROUND(AU252/AU$355,0)</f>
        <v>47589</v>
      </c>
      <c r="AV262" s="9">
        <f t="shared" si="640"/>
        <v>45215</v>
      </c>
      <c r="AW262" s="9">
        <f t="shared" si="633"/>
        <v>44681</v>
      </c>
      <c r="AX262" s="9">
        <f t="shared" si="633"/>
        <v>46538</v>
      </c>
      <c r="AY262" s="9">
        <f t="shared" ref="AY262" si="641">ROUND(AY252/AY$355,0)</f>
        <v>42293</v>
      </c>
    </row>
    <row r="263" spans="1:51">
      <c r="A263" s="18"/>
      <c r="C263" s="3" t="s">
        <v>26</v>
      </c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AM263" s="4">
        <f t="shared" ref="AM263:AQ263" si="642">AM253/AM355</f>
        <v>892.4</v>
      </c>
      <c r="AN263" s="4">
        <f t="shared" si="642"/>
        <v>1520.6142857142856</v>
      </c>
      <c r="AO263" s="4">
        <f t="shared" si="642"/>
        <v>2664.8529411764707</v>
      </c>
      <c r="AP263" s="4">
        <f t="shared" si="642"/>
        <v>1953.9375</v>
      </c>
      <c r="AQ263" s="4">
        <f t="shared" si="642"/>
        <v>2049.939393939394</v>
      </c>
      <c r="AR263" s="4">
        <f t="shared" ref="AR263" si="643">AR253/AR355</f>
        <v>2234.0985915492956</v>
      </c>
      <c r="AS263" s="4">
        <v>2700</v>
      </c>
      <c r="AT263" s="9">
        <f t="shared" ref="AT263" si="644">ROUND(AT253/AT$355,0)</f>
        <v>3711</v>
      </c>
      <c r="AU263" s="9">
        <f t="shared" ref="AU263:AV263" si="645">ROUND(AU253/AU$355,0)</f>
        <v>3150</v>
      </c>
      <c r="AV263" s="9">
        <f t="shared" si="645"/>
        <v>2960</v>
      </c>
      <c r="AW263" s="9">
        <f t="shared" si="633"/>
        <v>4494</v>
      </c>
      <c r="AX263" s="9">
        <f t="shared" si="633"/>
        <v>4837</v>
      </c>
      <c r="AY263" s="9">
        <f t="shared" ref="AY263" si="646">ROUND(AY253/AY$355,0)</f>
        <v>4236</v>
      </c>
    </row>
    <row r="264" spans="1:51">
      <c r="A264" s="18"/>
      <c r="C264" s="3" t="s">
        <v>24</v>
      </c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AM264" s="4">
        <f t="shared" ref="AM264:AQ264" si="647">AM254/AM355</f>
        <v>13347.692307692309</v>
      </c>
      <c r="AN264" s="4">
        <f t="shared" si="647"/>
        <v>16197.628571428571</v>
      </c>
      <c r="AO264" s="4">
        <f t="shared" si="647"/>
        <v>15062.75</v>
      </c>
      <c r="AP264" s="4">
        <f t="shared" si="647"/>
        <v>15529.953125</v>
      </c>
      <c r="AQ264" s="4">
        <f t="shared" si="647"/>
        <v>17258.242424242424</v>
      </c>
      <c r="AR264" s="4">
        <f t="shared" ref="AR264" si="648">AR254/AR355</f>
        <v>18065.943661971833</v>
      </c>
      <c r="AS264" s="4">
        <v>18188</v>
      </c>
      <c r="AT264" s="9">
        <f t="shared" ref="AT264" si="649">ROUND(AT254/AT$355,0)</f>
        <v>17414</v>
      </c>
      <c r="AU264" s="9">
        <f t="shared" ref="AU264:AV264" si="650">ROUND(AU254/AU$355,0)</f>
        <v>16686</v>
      </c>
      <c r="AV264" s="9">
        <f t="shared" si="650"/>
        <v>18933</v>
      </c>
      <c r="AW264" s="9">
        <f t="shared" si="633"/>
        <v>16623</v>
      </c>
      <c r="AX264" s="9">
        <f t="shared" si="633"/>
        <v>16698</v>
      </c>
      <c r="AY264" s="9">
        <f t="shared" ref="AY264" si="651">ROUND(AY254/AY$355,0)</f>
        <v>17266</v>
      </c>
    </row>
    <row r="265" spans="1:51">
      <c r="A265" s="18"/>
      <c r="C265" s="3" t="s">
        <v>10</v>
      </c>
      <c r="D265" s="4">
        <f t="shared" ref="D265:Q265" si="652">D255/D355</f>
        <v>2387.409090909091</v>
      </c>
      <c r="E265" s="4">
        <f t="shared" ref="E265" si="653">E255/E355</f>
        <v>3309.4347826086955</v>
      </c>
      <c r="F265" s="4">
        <f t="shared" ref="F265" si="654">F255/F355</f>
        <v>6385.130434782609</v>
      </c>
      <c r="G265" s="4">
        <f t="shared" ref="G265" si="655">G255/G355</f>
        <v>4901.541666666667</v>
      </c>
      <c r="H265" s="4">
        <f t="shared" ref="H265" si="656">H255/H355</f>
        <v>9111.0833333333339</v>
      </c>
      <c r="I265" s="4">
        <f t="shared" ref="I265" si="657">I255/I355</f>
        <v>11769.96</v>
      </c>
      <c r="J265" s="4">
        <f t="shared" ref="J265" si="658">J255/J355</f>
        <v>10347.200000000001</v>
      </c>
      <c r="K265" s="4">
        <f t="shared" ref="K265" si="659">K255/K355</f>
        <v>14025.48</v>
      </c>
      <c r="L265" s="4">
        <f t="shared" ref="L265" si="660">L255/L355</f>
        <v>18718.12</v>
      </c>
      <c r="M265" s="4">
        <f t="shared" ref="M265" si="661">M255/M355</f>
        <v>18324.64</v>
      </c>
      <c r="N265" s="4">
        <f t="shared" ref="N265" si="662">N255/N355</f>
        <v>20845.240000000002</v>
      </c>
      <c r="O265" s="4">
        <f t="shared" ref="O265" si="663">O255/O355</f>
        <v>17720.714285714286</v>
      </c>
      <c r="P265" s="4">
        <f t="shared" ref="P265" si="664">P255/P355</f>
        <v>22797.413793103449</v>
      </c>
      <c r="Q265" s="4">
        <f t="shared" si="652"/>
        <v>17620.575757575756</v>
      </c>
      <c r="R265" s="4">
        <f t="shared" ref="R265:Y265" si="665">R255/R355</f>
        <v>18879.527777777777</v>
      </c>
      <c r="S265" s="4">
        <f t="shared" si="665"/>
        <v>21015.722222222223</v>
      </c>
      <c r="T265" s="4">
        <f t="shared" si="665"/>
        <v>22951.638888888891</v>
      </c>
      <c r="U265" s="4">
        <f t="shared" si="665"/>
        <v>26036.162162162163</v>
      </c>
      <c r="V265" s="4">
        <f t="shared" si="665"/>
        <v>31048.702702702703</v>
      </c>
      <c r="W265" s="4">
        <f t="shared" si="665"/>
        <v>28362.470588235294</v>
      </c>
      <c r="X265" s="4">
        <f t="shared" si="665"/>
        <v>33303.805555555555</v>
      </c>
      <c r="Y265" s="4">
        <f t="shared" si="665"/>
        <v>31814.914285714287</v>
      </c>
      <c r="Z265" s="4">
        <f t="shared" ref="Z265" si="666">Z255/Z355</f>
        <v>35386.16216216216</v>
      </c>
      <c r="AA265" s="4">
        <f t="shared" ref="AA265" si="667">AA255/AA355</f>
        <v>37180.615384615383</v>
      </c>
      <c r="AB265" s="4">
        <f t="shared" ref="AB265" si="668">AB255/AB355</f>
        <v>37286</v>
      </c>
      <c r="AC265" s="4">
        <f t="shared" ref="AC265" si="669">AC255/AC355</f>
        <v>36733.439024390245</v>
      </c>
      <c r="AD265" s="4">
        <f t="shared" ref="AD265" si="670">AD255/AD355</f>
        <v>29694.272727272728</v>
      </c>
      <c r="AE265" s="4">
        <f t="shared" ref="AE265" si="671">AE255/AE355</f>
        <v>30778.723404255321</v>
      </c>
      <c r="AF265" s="4">
        <f t="shared" ref="AF265" si="672">AF255/AF355</f>
        <v>28503.166666666668</v>
      </c>
      <c r="AG265" s="4">
        <f t="shared" ref="AG265:AH265" si="673">AG255/AG355</f>
        <v>18725.745098039217</v>
      </c>
      <c r="AH265" s="4">
        <f t="shared" si="673"/>
        <v>19169.655172413793</v>
      </c>
      <c r="AI265" s="4">
        <f t="shared" ref="AI265:AJ265" si="674">AI255/AI355</f>
        <v>17653.55</v>
      </c>
      <c r="AJ265" s="4">
        <f t="shared" si="674"/>
        <v>18407.786885245903</v>
      </c>
      <c r="AK265" s="4">
        <f t="shared" ref="AK265:AQ265" si="675">AK255/AK355</f>
        <v>17550.96875</v>
      </c>
      <c r="AL265" s="4">
        <f t="shared" si="675"/>
        <v>18158.876923076925</v>
      </c>
      <c r="AM265" s="4">
        <f t="shared" si="675"/>
        <v>8749.2000000000007</v>
      </c>
      <c r="AN265" s="4">
        <f t="shared" si="675"/>
        <v>7728.9571428571426</v>
      </c>
      <c r="AO265" s="4">
        <f t="shared" si="675"/>
        <v>7286.3823529411766</v>
      </c>
      <c r="AP265" s="4">
        <f t="shared" si="675"/>
        <v>7323.25</v>
      </c>
      <c r="AQ265" s="4">
        <f t="shared" si="675"/>
        <v>6281.80303030303</v>
      </c>
      <c r="AR265" s="4">
        <f t="shared" ref="AR265" si="676">AR255/AR355</f>
        <v>6630.2676056338032</v>
      </c>
      <c r="AS265" s="4">
        <v>6526</v>
      </c>
      <c r="AT265" s="9">
        <f t="shared" ref="AT265" si="677">ROUND(AT255/AT$355,0)</f>
        <v>5721</v>
      </c>
      <c r="AU265" s="9">
        <f t="shared" ref="AU265:AV265" si="678">ROUND(AU255/AU$355,0)</f>
        <v>5007</v>
      </c>
      <c r="AV265" s="9">
        <f t="shared" si="678"/>
        <v>5400</v>
      </c>
      <c r="AW265" s="9">
        <f t="shared" si="633"/>
        <v>4849</v>
      </c>
      <c r="AX265" s="9">
        <f t="shared" si="633"/>
        <v>4511</v>
      </c>
      <c r="AY265" s="9">
        <f t="shared" ref="AY265" si="679">ROUND(AY255/AY$355,0)</f>
        <v>4405</v>
      </c>
    </row>
    <row r="266" spans="1:51">
      <c r="A266" s="18"/>
      <c r="C266" s="3" t="s">
        <v>17</v>
      </c>
      <c r="D266" s="4">
        <f t="shared" ref="D266:Q266" si="680">D256/D355</f>
        <v>113945.04545454546</v>
      </c>
      <c r="E266" s="4">
        <f t="shared" ref="E266" si="681">E256/E355</f>
        <v>134538.34782608695</v>
      </c>
      <c r="F266" s="4">
        <f t="shared" ref="F266" si="682">F256/F355</f>
        <v>155651.5652173913</v>
      </c>
      <c r="G266" s="4">
        <f t="shared" ref="G266" si="683">G256/G355</f>
        <v>180948.95833333334</v>
      </c>
      <c r="H266" s="4">
        <f t="shared" ref="H266" si="684">H256/H355</f>
        <v>203392.20833333334</v>
      </c>
      <c r="I266" s="4">
        <f t="shared" ref="I266" si="685">I256/I355</f>
        <v>236026.44</v>
      </c>
      <c r="J266" s="4">
        <f t="shared" ref="J266" si="686">J256/J355</f>
        <v>262505.71999999997</v>
      </c>
      <c r="K266" s="4">
        <f t="shared" ref="K266" si="687">K256/K355</f>
        <v>292711.2</v>
      </c>
      <c r="L266" s="4">
        <f t="shared" ref="L266" si="688">L256/L355</f>
        <v>305561.68</v>
      </c>
      <c r="M266" s="4">
        <f t="shared" ref="M266" si="689">M256/M355</f>
        <v>316746.56</v>
      </c>
      <c r="N266" s="4">
        <f t="shared" ref="N266" si="690">N256/N355</f>
        <v>326607.68</v>
      </c>
      <c r="O266" s="4">
        <f t="shared" ref="O266" si="691">O256/O355</f>
        <v>290348.53571428574</v>
      </c>
      <c r="P266" s="4">
        <f t="shared" ref="P266" si="692">P256/P355</f>
        <v>295157.5172413793</v>
      </c>
      <c r="Q266" s="4">
        <f t="shared" si="680"/>
        <v>297030.51515151514</v>
      </c>
      <c r="R266" s="4">
        <f t="shared" ref="R266:Y266" si="693">R256/R355</f>
        <v>293088.22222222225</v>
      </c>
      <c r="S266" s="4">
        <f t="shared" si="693"/>
        <v>308401.36111111112</v>
      </c>
      <c r="T266" s="4">
        <f t="shared" si="693"/>
        <v>320282.63888888888</v>
      </c>
      <c r="U266" s="4">
        <f t="shared" si="693"/>
        <v>333056.02702702704</v>
      </c>
      <c r="V266" s="4">
        <f t="shared" si="693"/>
        <v>333833.59459459462</v>
      </c>
      <c r="W266" s="4">
        <f t="shared" si="693"/>
        <v>314922.70588235295</v>
      </c>
      <c r="X266" s="4">
        <f t="shared" si="693"/>
        <v>321201.13888888888</v>
      </c>
      <c r="Y266" s="4">
        <f t="shared" si="693"/>
        <v>309275.74285714288</v>
      </c>
      <c r="Z266" s="4">
        <f t="shared" ref="Z266" si="694">Z256/Z355</f>
        <v>342083.18918918917</v>
      </c>
      <c r="AA266" s="4">
        <f t="shared" ref="AA266" si="695">AA256/AA355</f>
        <v>328242.48717948719</v>
      </c>
      <c r="AB266" s="4">
        <f t="shared" ref="AB266" si="696">AB256/AB355</f>
        <v>318854.04761904763</v>
      </c>
      <c r="AC266" s="4">
        <f t="shared" ref="AC266" si="697">AC256/AC355</f>
        <v>309887.51219512196</v>
      </c>
      <c r="AD266" s="4">
        <f t="shared" ref="AD266" si="698">AD256/AD355</f>
        <v>297584.59090909088</v>
      </c>
      <c r="AE266" s="4">
        <f t="shared" ref="AE266" si="699">AE256/AE355</f>
        <v>276880.87234042556</v>
      </c>
      <c r="AF266" s="4">
        <f t="shared" ref="AF266" si="700">AF256/AF355</f>
        <v>289403.33333333331</v>
      </c>
      <c r="AG266" s="4">
        <f t="shared" ref="AG266:AH266" si="701">AG256/AG355</f>
        <v>393312</v>
      </c>
      <c r="AH266" s="4">
        <f t="shared" si="701"/>
        <v>211219.05172413794</v>
      </c>
      <c r="AI266" s="4">
        <f t="shared" ref="AI266:AJ266" si="702">AI256/AI355</f>
        <v>195137.76666666666</v>
      </c>
      <c r="AJ266" s="4">
        <f t="shared" si="702"/>
        <v>185007.44262295082</v>
      </c>
      <c r="AK266" s="4">
        <f t="shared" ref="AK266:AQ266" si="703">AK256/AK355</f>
        <v>174928.390625</v>
      </c>
      <c r="AL266" s="4">
        <f t="shared" si="703"/>
        <v>171322.61538461538</v>
      </c>
      <c r="AM266" s="4">
        <f t="shared" si="703"/>
        <v>161451.0153846154</v>
      </c>
      <c r="AN266" s="4">
        <f t="shared" si="703"/>
        <v>155179.52857142859</v>
      </c>
      <c r="AO266" s="4">
        <f t="shared" si="703"/>
        <v>151607.54411764705</v>
      </c>
      <c r="AP266" s="4">
        <f t="shared" si="703"/>
        <v>154855.640625</v>
      </c>
      <c r="AQ266" s="4">
        <f t="shared" si="703"/>
        <v>159247.04545454544</v>
      </c>
      <c r="AR266" s="4">
        <f t="shared" ref="AR266" si="704">AR256/AR355</f>
        <v>159725.57746478874</v>
      </c>
      <c r="AS266" s="4">
        <v>155762</v>
      </c>
      <c r="AT266" s="9">
        <f t="shared" ref="AT266:AY266" si="705">SUM(AT260:AT265)</f>
        <v>143978</v>
      </c>
      <c r="AU266" s="9">
        <f t="shared" si="705"/>
        <v>131732</v>
      </c>
      <c r="AV266" s="9">
        <f t="shared" si="705"/>
        <v>126500</v>
      </c>
      <c r="AW266" s="9">
        <f t="shared" si="705"/>
        <v>117220</v>
      </c>
      <c r="AX266" s="9">
        <f t="shared" si="705"/>
        <v>118652</v>
      </c>
      <c r="AY266" s="9">
        <f t="shared" si="705"/>
        <v>111778</v>
      </c>
    </row>
    <row r="267" spans="1:51">
      <c r="A267" s="18"/>
      <c r="C267" s="10" t="s">
        <v>12</v>
      </c>
      <c r="D267" s="8">
        <f>D266/D338*100</f>
        <v>2.1251375477920291</v>
      </c>
      <c r="E267" s="8">
        <f>E266/E338*100</f>
        <v>1.4936006101092791</v>
      </c>
      <c r="F267" s="8">
        <f t="shared" ref="F267:AQ267" si="706">F266/F338*100</f>
        <v>1.7732974049325598</v>
      </c>
      <c r="G267" s="8">
        <f t="shared" si="706"/>
        <v>1.8374027941139139</v>
      </c>
      <c r="H267" s="8">
        <f t="shared" si="706"/>
        <v>1.9478502648145941</v>
      </c>
      <c r="I267" s="8">
        <f t="shared" si="706"/>
        <v>2.3074268449605189</v>
      </c>
      <c r="J267" s="8">
        <f t="shared" si="706"/>
        <v>2.104778440197745</v>
      </c>
      <c r="K267" s="8">
        <f t="shared" si="706"/>
        <v>2.2097609191470977</v>
      </c>
      <c r="L267" s="8">
        <f t="shared" si="706"/>
        <v>2.4110530903428113</v>
      </c>
      <c r="M267" s="8">
        <f t="shared" si="706"/>
        <v>2.2101474410080297</v>
      </c>
      <c r="N267" s="8">
        <f t="shared" si="706"/>
        <v>2.0415568540974229</v>
      </c>
      <c r="O267" s="8">
        <f t="shared" si="706"/>
        <v>2.0443273448533161</v>
      </c>
      <c r="P267" s="8">
        <f t="shared" si="706"/>
        <v>2.1638508927943221</v>
      </c>
      <c r="Q267" s="8">
        <f t="shared" si="706"/>
        <v>2.2288338434729855</v>
      </c>
      <c r="R267" s="8">
        <f t="shared" si="706"/>
        <v>2.3405828566796227</v>
      </c>
      <c r="S267" s="8">
        <f t="shared" si="706"/>
        <v>2.3642465640019528</v>
      </c>
      <c r="T267" s="8">
        <f t="shared" si="706"/>
        <v>2.1364359109962896</v>
      </c>
      <c r="U267" s="8">
        <f t="shared" si="706"/>
        <v>2.2309804144398044</v>
      </c>
      <c r="V267" s="8">
        <f t="shared" si="706"/>
        <v>2.0950194832758391</v>
      </c>
      <c r="W267" s="8">
        <f t="shared" si="706"/>
        <v>2.0646773070657041</v>
      </c>
      <c r="X267" s="8">
        <f t="shared" si="706"/>
        <v>1.9766061714765311</v>
      </c>
      <c r="Y267" s="8">
        <f t="shared" si="706"/>
        <v>2.0094104700807698</v>
      </c>
      <c r="Z267" s="8">
        <f t="shared" si="706"/>
        <v>1.9929013188565541</v>
      </c>
      <c r="AA267" s="8">
        <f t="shared" si="706"/>
        <v>2.2295855503087321</v>
      </c>
      <c r="AB267" s="8">
        <f t="shared" si="706"/>
        <v>2.2262307879691865</v>
      </c>
      <c r="AC267" s="8">
        <f t="shared" si="706"/>
        <v>2.0657260159575768</v>
      </c>
      <c r="AD267" s="8">
        <f t="shared" si="706"/>
        <v>2.0642030142846823</v>
      </c>
      <c r="AE267" s="8">
        <f t="shared" si="706"/>
        <v>1.9023924152102361</v>
      </c>
      <c r="AF267" s="8">
        <f t="shared" si="706"/>
        <v>2.0797512538833867</v>
      </c>
      <c r="AG267" s="8">
        <f t="shared" si="706"/>
        <v>2.838452218313205</v>
      </c>
      <c r="AH267" s="8">
        <f t="shared" si="706"/>
        <v>1.7600985543297702</v>
      </c>
      <c r="AI267" s="8">
        <f t="shared" si="706"/>
        <v>1.6160267253057379</v>
      </c>
      <c r="AJ267" s="8">
        <f t="shared" si="706"/>
        <v>1.629777281473797</v>
      </c>
      <c r="AK267" s="8">
        <f t="shared" si="706"/>
        <v>1.5613861874423434</v>
      </c>
      <c r="AL267" s="8">
        <f t="shared" si="706"/>
        <v>1.4846604366453036</v>
      </c>
      <c r="AM267" s="8">
        <f t="shared" si="706"/>
        <v>1.4611020783112654</v>
      </c>
      <c r="AN267" s="8">
        <f t="shared" si="706"/>
        <v>1.42782029316597</v>
      </c>
      <c r="AO267" s="8">
        <f t="shared" si="706"/>
        <v>1.375862202267234</v>
      </c>
      <c r="AP267" s="8">
        <f t="shared" si="706"/>
        <v>1.2757463579037851</v>
      </c>
      <c r="AQ267" s="8">
        <f t="shared" si="706"/>
        <v>1.1694930598331561</v>
      </c>
      <c r="AR267" s="8">
        <f t="shared" ref="AR267:AW267" si="707">AR266/AR338*100</f>
        <v>1.234871569242272</v>
      </c>
      <c r="AS267" s="8">
        <f t="shared" si="707"/>
        <v>1.2578699784860183</v>
      </c>
      <c r="AT267" s="40">
        <f t="shared" si="707"/>
        <v>1.2111184799093633</v>
      </c>
      <c r="AU267" s="40">
        <f t="shared" ref="AU267:AV267" si="708">AU266/AU338*100</f>
        <v>1.1867638451939742</v>
      </c>
      <c r="AV267" s="40">
        <f t="shared" si="708"/>
        <v>1.1729979492651348</v>
      </c>
      <c r="AW267" s="40">
        <f t="shared" si="707"/>
        <v>0.98945712588851731</v>
      </c>
      <c r="AX267" s="40">
        <f t="shared" ref="AX267:AY267" si="709">AX266/AX338*100</f>
        <v>1.0288443627718065</v>
      </c>
      <c r="AY267" s="40">
        <f t="shared" si="709"/>
        <v>1.3420764961744833</v>
      </c>
    </row>
    <row r="268" spans="1:51">
      <c r="A268" s="18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AP268" s="4"/>
      <c r="AQ268" s="4"/>
      <c r="AR268" s="4"/>
      <c r="AS268" s="4"/>
      <c r="AT268" s="9"/>
      <c r="AU268" s="9"/>
      <c r="AV268" s="9"/>
      <c r="AW268" s="9"/>
      <c r="AX268" s="9"/>
      <c r="AY268" s="9"/>
    </row>
    <row r="269" spans="1:51" s="22" customFormat="1">
      <c r="A269" s="25" t="s">
        <v>7</v>
      </c>
      <c r="B269" s="22" t="s">
        <v>5</v>
      </c>
      <c r="C269" s="22" t="s">
        <v>8</v>
      </c>
      <c r="D269" s="23">
        <v>2440881</v>
      </c>
      <c r="E269" s="23">
        <v>2936595</v>
      </c>
      <c r="F269" s="23">
        <v>3503629</v>
      </c>
      <c r="G269" s="23">
        <v>3883335</v>
      </c>
      <c r="H269" s="23">
        <v>4330168</v>
      </c>
      <c r="I269" s="23">
        <v>4651874</v>
      </c>
      <c r="J269" s="23">
        <v>5373734</v>
      </c>
      <c r="K269" s="23">
        <v>5508461</v>
      </c>
      <c r="L269" s="23">
        <f>3154487+2627777</f>
        <v>5782264</v>
      </c>
      <c r="M269" s="23">
        <f>3305568+2823228</f>
        <v>6128796</v>
      </c>
      <c r="N269" s="23">
        <f>3737468+3833261</f>
        <v>7570729</v>
      </c>
      <c r="O269" s="23">
        <f>3743026+3184649</f>
        <v>6927675</v>
      </c>
      <c r="P269" s="23">
        <f>3983269+3296808</f>
        <v>7280077</v>
      </c>
      <c r="Q269" s="23">
        <f>4369517+3420906</f>
        <v>7790423</v>
      </c>
      <c r="R269" s="23">
        <f>3965304+3533696</f>
        <v>7499000</v>
      </c>
      <c r="S269" s="23">
        <f>4169434+3854117</f>
        <v>8023551</v>
      </c>
      <c r="T269" s="23">
        <f>4449390+3669609</f>
        <v>8118999</v>
      </c>
      <c r="U269" s="23">
        <f>4912744+3700730</f>
        <v>8613474</v>
      </c>
      <c r="V269" s="23">
        <f>5075565+3488740</f>
        <v>8564305</v>
      </c>
      <c r="W269" s="23">
        <f>5478152+3424955</f>
        <v>8903107</v>
      </c>
      <c r="X269" s="23">
        <f>5904274+3429602</f>
        <v>9333876</v>
      </c>
      <c r="Y269" s="23">
        <f>5428414+3091023</f>
        <v>8519437</v>
      </c>
      <c r="Z269" s="23">
        <f>5680743+3253590</f>
        <v>8934333</v>
      </c>
      <c r="AA269" s="23">
        <f>5614041+3275124</f>
        <v>8889165</v>
      </c>
      <c r="AB269" s="23">
        <f>6229200+3454059</f>
        <v>9683259</v>
      </c>
      <c r="AC269" s="23">
        <f>6273430+3175292</f>
        <v>9448722</v>
      </c>
      <c r="AD269" s="23">
        <v>8753992</v>
      </c>
      <c r="AE269" s="23">
        <v>8304239</v>
      </c>
      <c r="AF269" s="23">
        <v>8276311</v>
      </c>
      <c r="AG269" s="23">
        <v>7741548</v>
      </c>
      <c r="AH269" s="23">
        <v>7231972</v>
      </c>
      <c r="AI269" s="23">
        <v>6836259</v>
      </c>
      <c r="AJ269" s="23">
        <v>6902897</v>
      </c>
      <c r="AK269" s="23">
        <v>6167226</v>
      </c>
      <c r="AL269" s="23">
        <v>5704311</v>
      </c>
      <c r="AM269" s="23">
        <v>5540005</v>
      </c>
      <c r="AN269" s="23">
        <v>4883659</v>
      </c>
      <c r="AO269" s="23">
        <v>4608550</v>
      </c>
      <c r="AP269" s="23">
        <v>4559141</v>
      </c>
      <c r="AQ269" s="23">
        <v>4095202</v>
      </c>
      <c r="AR269" s="23">
        <v>4559218</v>
      </c>
      <c r="AS269" s="23">
        <v>3266353</v>
      </c>
      <c r="AT269" s="23">
        <v>3136350</v>
      </c>
      <c r="AU269" s="23">
        <v>3329620</v>
      </c>
      <c r="AV269" s="39">
        <v>2720858</v>
      </c>
      <c r="AW269" s="39">
        <v>2623121</v>
      </c>
      <c r="AX269" s="39">
        <v>2375934</v>
      </c>
      <c r="AY269" s="39">
        <v>2238346</v>
      </c>
    </row>
    <row r="270" spans="1:51">
      <c r="A270" s="18"/>
      <c r="B270" s="3" t="s">
        <v>21</v>
      </c>
      <c r="C270" s="3" t="s">
        <v>9</v>
      </c>
      <c r="D270" s="4">
        <v>786249</v>
      </c>
      <c r="E270" s="4">
        <v>1019835</v>
      </c>
      <c r="F270" s="4">
        <v>1092319</v>
      </c>
      <c r="G270" s="4">
        <v>1171422</v>
      </c>
      <c r="H270" s="4">
        <v>1224124</v>
      </c>
      <c r="I270" s="4">
        <v>1472138</v>
      </c>
      <c r="J270" s="4">
        <v>1771201</v>
      </c>
      <c r="K270" s="4">
        <f>529315+1649500</f>
        <v>2178815</v>
      </c>
      <c r="L270" s="4">
        <f>619316+1903302</f>
        <v>2522618</v>
      </c>
      <c r="M270" s="4">
        <f>657350+1915857</f>
        <v>2573207</v>
      </c>
      <c r="N270" s="4">
        <f>685439+2027369</f>
        <v>2712808</v>
      </c>
      <c r="O270" s="4">
        <f>663769+2097463</f>
        <v>2761232</v>
      </c>
      <c r="P270" s="4">
        <f>720426+2146756</f>
        <v>2867182</v>
      </c>
      <c r="Q270" s="4">
        <f>836073+2230843</f>
        <v>3066916</v>
      </c>
      <c r="R270" s="4">
        <f>789752+2181590</f>
        <v>2971342</v>
      </c>
      <c r="S270" s="4">
        <f>899915+2674182</f>
        <v>3574097</v>
      </c>
      <c r="T270" s="4">
        <f>983548+2775594</f>
        <v>3759142</v>
      </c>
      <c r="U270" s="4">
        <f>1107486+2883419</f>
        <v>3990905</v>
      </c>
      <c r="V270" s="4">
        <f>1209703+2958896</f>
        <v>4168599</v>
      </c>
      <c r="W270" s="4">
        <f>1202831+2992057</f>
        <v>4194888</v>
      </c>
      <c r="X270" s="4">
        <f>1259377+3237691</f>
        <v>4497068</v>
      </c>
      <c r="Y270" s="4">
        <f>1237881+3547355</f>
        <v>4785236</v>
      </c>
      <c r="Z270" s="4">
        <f>1207235+4011343</f>
        <v>5218578</v>
      </c>
      <c r="AA270" s="4">
        <f>1296185+4557679</f>
        <v>5853864</v>
      </c>
      <c r="AB270" s="4">
        <f>1434240+4659817</f>
        <v>6094057</v>
      </c>
      <c r="AC270" s="4">
        <f>1402842+4597649</f>
        <v>6000491</v>
      </c>
      <c r="AD270" s="4">
        <v>6262908</v>
      </c>
      <c r="AE270" s="4">
        <v>6400031</v>
      </c>
      <c r="AF270" s="4">
        <v>6580118</v>
      </c>
      <c r="AG270" s="4">
        <v>6384006</v>
      </c>
      <c r="AH270" s="4">
        <v>5849349</v>
      </c>
      <c r="AI270" s="4">
        <v>5993651</v>
      </c>
      <c r="AJ270" s="4">
        <v>5877346</v>
      </c>
      <c r="AK270" s="4">
        <v>5076323</v>
      </c>
      <c r="AL270" s="4">
        <v>4470194</v>
      </c>
      <c r="AM270" s="4">
        <v>3836116</v>
      </c>
      <c r="AN270" s="4">
        <v>3469143</v>
      </c>
      <c r="AO270" s="4">
        <v>3268373</v>
      </c>
      <c r="AP270" s="4">
        <v>3286830</v>
      </c>
      <c r="AQ270" s="4">
        <v>3297173</v>
      </c>
      <c r="AR270" s="4">
        <v>2971097</v>
      </c>
      <c r="AS270" s="4">
        <v>2745822</v>
      </c>
      <c r="AT270" s="4">
        <v>2567336</v>
      </c>
      <c r="AU270" s="4">
        <v>2339014</v>
      </c>
      <c r="AV270" s="4">
        <v>2205170</v>
      </c>
      <c r="AW270" s="4">
        <v>2183803</v>
      </c>
      <c r="AX270" s="4">
        <v>2029028</v>
      </c>
      <c r="AY270" s="4">
        <v>1908780</v>
      </c>
    </row>
    <row r="271" spans="1:51">
      <c r="A271" s="18"/>
      <c r="C271" s="3" t="s">
        <v>11</v>
      </c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AG271" s="4">
        <v>723900</v>
      </c>
      <c r="AH271" s="4">
        <v>1070258</v>
      </c>
      <c r="AI271" s="4">
        <v>1454638</v>
      </c>
      <c r="AJ271" s="4">
        <v>1954620</v>
      </c>
      <c r="AK271" s="4">
        <v>2577456</v>
      </c>
      <c r="AL271" s="4">
        <v>2919234</v>
      </c>
      <c r="AM271" s="4">
        <v>2982333</v>
      </c>
      <c r="AN271" s="4">
        <v>3165301</v>
      </c>
      <c r="AO271" s="4">
        <v>3345254</v>
      </c>
      <c r="AP271" s="4">
        <v>3677499</v>
      </c>
      <c r="AQ271" s="4">
        <v>3806052</v>
      </c>
      <c r="AR271" s="4">
        <v>3890233</v>
      </c>
      <c r="AS271" s="4">
        <v>3773018</v>
      </c>
      <c r="AT271" s="4">
        <v>3710334</v>
      </c>
      <c r="AU271" s="4">
        <v>3905546</v>
      </c>
      <c r="AV271" s="4">
        <v>3904080</v>
      </c>
      <c r="AW271" s="4">
        <v>3942920</v>
      </c>
      <c r="AX271" s="4">
        <v>4055745</v>
      </c>
      <c r="AY271" s="4">
        <v>4360682</v>
      </c>
    </row>
    <row r="272" spans="1:51">
      <c r="A272" s="18"/>
      <c r="C272" s="3" t="s">
        <v>26</v>
      </c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AM272" s="4">
        <v>117770</v>
      </c>
      <c r="AN272" s="4">
        <v>61666</v>
      </c>
      <c r="AO272" s="4">
        <v>99388</v>
      </c>
      <c r="AP272" s="4">
        <v>174102</v>
      </c>
      <c r="AQ272" s="4">
        <v>200080</v>
      </c>
      <c r="AR272" s="4">
        <v>146849</v>
      </c>
      <c r="AS272" s="4">
        <v>198189</v>
      </c>
      <c r="AT272" s="4">
        <v>225771</v>
      </c>
      <c r="AU272" s="4">
        <v>189690</v>
      </c>
      <c r="AV272" s="4">
        <v>174630</v>
      </c>
      <c r="AW272" s="4">
        <v>344603</v>
      </c>
      <c r="AX272" s="4">
        <v>352148</v>
      </c>
      <c r="AY272" s="4">
        <v>251305</v>
      </c>
    </row>
    <row r="273" spans="1:51">
      <c r="A273" s="18"/>
      <c r="C273" s="3" t="s">
        <v>24</v>
      </c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AM273" s="4">
        <v>978490</v>
      </c>
      <c r="AN273" s="4">
        <v>1041084</v>
      </c>
      <c r="AO273" s="4">
        <v>1118536</v>
      </c>
      <c r="AP273" s="4">
        <v>1168334</v>
      </c>
      <c r="AQ273" s="4">
        <v>1221338</v>
      </c>
      <c r="AR273" s="4">
        <v>1171402</v>
      </c>
      <c r="AS273" s="4">
        <v>1120381</v>
      </c>
      <c r="AT273" s="4">
        <v>1199941</v>
      </c>
      <c r="AU273" s="4">
        <v>1217609</v>
      </c>
      <c r="AV273" s="4">
        <v>1245561</v>
      </c>
      <c r="AW273" s="4">
        <v>1328583</v>
      </c>
      <c r="AX273" s="4">
        <v>1429892</v>
      </c>
      <c r="AY273" s="4">
        <v>1480708</v>
      </c>
    </row>
    <row r="274" spans="1:51">
      <c r="A274" s="18"/>
      <c r="C274" s="3" t="s">
        <v>10</v>
      </c>
      <c r="D274" s="4">
        <v>89709</v>
      </c>
      <c r="E274" s="4">
        <v>87970</v>
      </c>
      <c r="F274" s="4">
        <v>90506</v>
      </c>
      <c r="G274" s="4">
        <v>102988</v>
      </c>
      <c r="H274" s="4">
        <v>160616</v>
      </c>
      <c r="I274" s="4">
        <v>228492</v>
      </c>
      <c r="J274" s="4">
        <v>237083</v>
      </c>
      <c r="K274" s="4">
        <v>268049</v>
      </c>
      <c r="L274" s="4">
        <v>388702</v>
      </c>
      <c r="M274" s="4">
        <v>571198</v>
      </c>
      <c r="N274" s="4">
        <v>540502</v>
      </c>
      <c r="O274" s="4">
        <v>496589</v>
      </c>
      <c r="P274" s="4">
        <v>633192</v>
      </c>
      <c r="Q274" s="4">
        <v>658256</v>
      </c>
      <c r="R274" s="4">
        <v>638137</v>
      </c>
      <c r="S274" s="4">
        <v>779893</v>
      </c>
      <c r="T274" s="4">
        <v>802459</v>
      </c>
      <c r="U274" s="4">
        <v>972761</v>
      </c>
      <c r="V274" s="4">
        <v>1040954</v>
      </c>
      <c r="W274" s="4">
        <v>1762919</v>
      </c>
      <c r="X274" s="4">
        <v>1545072</v>
      </c>
      <c r="Y274" s="4">
        <v>1320913</v>
      </c>
      <c r="Z274" s="4">
        <v>1357727</v>
      </c>
      <c r="AA274" s="4">
        <v>1747495</v>
      </c>
      <c r="AB274" s="4">
        <v>1849108</v>
      </c>
      <c r="AC274" s="4">
        <v>1698133</v>
      </c>
      <c r="AD274" s="4">
        <v>1604749</v>
      </c>
      <c r="AE274" s="4">
        <v>1621666</v>
      </c>
      <c r="AF274" s="4">
        <v>1689285</v>
      </c>
      <c r="AG274" s="4">
        <v>1259213</v>
      </c>
      <c r="AH274" s="4">
        <v>1242169</v>
      </c>
      <c r="AI274" s="4">
        <v>1345998</v>
      </c>
      <c r="AJ274" s="4">
        <v>1436462</v>
      </c>
      <c r="AK274" s="4">
        <v>1513504</v>
      </c>
      <c r="AL274" s="4">
        <v>1560699</v>
      </c>
      <c r="AM274" s="4">
        <v>934186</v>
      </c>
      <c r="AN274" s="4">
        <v>820172</v>
      </c>
      <c r="AO274" s="4">
        <v>819805</v>
      </c>
      <c r="AP274" s="4">
        <v>737191</v>
      </c>
      <c r="AQ274" s="4">
        <v>737720</v>
      </c>
      <c r="AR274" s="4">
        <v>573342</v>
      </c>
      <c r="AS274" s="4">
        <v>550858</v>
      </c>
      <c r="AT274" s="4">
        <v>550109</v>
      </c>
      <c r="AU274" s="4">
        <v>596905</v>
      </c>
      <c r="AV274" s="4">
        <v>502800</v>
      </c>
      <c r="AW274" s="4">
        <v>510280</v>
      </c>
      <c r="AX274" s="4">
        <v>557210</v>
      </c>
      <c r="AY274" s="4">
        <v>502355</v>
      </c>
    </row>
    <row r="275" spans="1:51">
      <c r="A275" s="18"/>
      <c r="C275" s="3" t="s">
        <v>17</v>
      </c>
      <c r="D275" s="4">
        <v>3316839</v>
      </c>
      <c r="E275" s="4">
        <v>4044400</v>
      </c>
      <c r="F275" s="4">
        <v>4686454</v>
      </c>
      <c r="G275" s="4">
        <v>5157745</v>
      </c>
      <c r="H275" s="4">
        <v>5714908</v>
      </c>
      <c r="I275" s="4">
        <v>6352504</v>
      </c>
      <c r="J275" s="4">
        <v>7382018</v>
      </c>
      <c r="K275" s="4">
        <v>7955325</v>
      </c>
      <c r="L275" s="4">
        <v>8693584</v>
      </c>
      <c r="M275" s="4">
        <v>9273201</v>
      </c>
      <c r="N275" s="4">
        <v>10824039</v>
      </c>
      <c r="O275" s="4">
        <v>10185496</v>
      </c>
      <c r="P275" s="4">
        <v>10780451</v>
      </c>
      <c r="Q275" s="4">
        <v>11515595</v>
      </c>
      <c r="R275" s="4">
        <v>11108479</v>
      </c>
      <c r="S275" s="4">
        <v>12377541</v>
      </c>
      <c r="T275" s="4">
        <v>12680600</v>
      </c>
      <c r="U275" s="4">
        <v>13577140</v>
      </c>
      <c r="V275" s="4">
        <v>13773858</v>
      </c>
      <c r="W275" s="4">
        <v>14860914</v>
      </c>
      <c r="X275" s="4">
        <v>15376016</v>
      </c>
      <c r="Y275" s="4">
        <v>14625586</v>
      </c>
      <c r="Z275" s="4">
        <v>15510638</v>
      </c>
      <c r="AA275" s="4">
        <v>16490524</v>
      </c>
      <c r="AB275" s="4">
        <v>17626424</v>
      </c>
      <c r="AC275" s="4">
        <v>17147346</v>
      </c>
      <c r="AD275" s="4">
        <v>16621649</v>
      </c>
      <c r="AE275" s="4">
        <v>16325936</v>
      </c>
      <c r="AF275" s="4">
        <v>16545714</v>
      </c>
      <c r="AG275" s="4">
        <v>16108667</v>
      </c>
      <c r="AH275" s="4">
        <v>15393748</v>
      </c>
      <c r="AI275" s="4">
        <v>15630546</v>
      </c>
      <c r="AJ275" s="4">
        <v>16171325</v>
      </c>
      <c r="AK275" s="4">
        <v>15334509</v>
      </c>
      <c r="AL275" s="4">
        <v>14654438</v>
      </c>
      <c r="AM275" s="4">
        <v>14388900</v>
      </c>
      <c r="AN275" s="4">
        <v>13441025</v>
      </c>
      <c r="AO275" s="4">
        <v>13259906</v>
      </c>
      <c r="AP275" s="4">
        <v>13603097</v>
      </c>
      <c r="AQ275" s="4">
        <v>13357565</v>
      </c>
      <c r="AR275" s="4">
        <v>13312141</v>
      </c>
      <c r="AS275" s="4">
        <v>11654621</v>
      </c>
      <c r="AT275" s="9">
        <f t="shared" ref="AT275:AY275" si="710">SUM(AT269:AT274)</f>
        <v>11389841</v>
      </c>
      <c r="AU275" s="9">
        <f t="shared" si="710"/>
        <v>11578384</v>
      </c>
      <c r="AV275" s="9">
        <f t="shared" si="710"/>
        <v>10753099</v>
      </c>
      <c r="AW275" s="9">
        <f t="shared" si="710"/>
        <v>10933310</v>
      </c>
      <c r="AX275" s="9">
        <f t="shared" si="710"/>
        <v>10799957</v>
      </c>
      <c r="AY275" s="9">
        <f t="shared" si="710"/>
        <v>10742176</v>
      </c>
    </row>
    <row r="276" spans="1:51">
      <c r="A276" s="18"/>
      <c r="C276" s="10" t="s">
        <v>12</v>
      </c>
      <c r="D276" s="8">
        <f>D275/D321*100</f>
        <v>1.8361699300815437</v>
      </c>
      <c r="E276" s="8">
        <f>E275/E321*100</f>
        <v>1.915560733941478</v>
      </c>
      <c r="F276" s="8">
        <f t="shared" ref="F276:AQ276" si="711">F275/F321*100</f>
        <v>1.9344169862176857</v>
      </c>
      <c r="G276" s="8">
        <f t="shared" si="711"/>
        <v>1.9485762751565021</v>
      </c>
      <c r="H276" s="8">
        <f t="shared" si="711"/>
        <v>1.9297995430073318</v>
      </c>
      <c r="I276" s="8">
        <f t="shared" si="711"/>
        <v>1.8809747355656907</v>
      </c>
      <c r="J276" s="8">
        <f t="shared" si="711"/>
        <v>2.0414189736499941</v>
      </c>
      <c r="K276" s="8">
        <f t="shared" si="711"/>
        <v>1.9284912419711955</v>
      </c>
      <c r="L276" s="8">
        <f t="shared" si="711"/>
        <v>2.0455862184271458</v>
      </c>
      <c r="M276" s="8">
        <f t="shared" si="711"/>
        <v>1.9051008187577279</v>
      </c>
      <c r="N276" s="8">
        <f t="shared" si="711"/>
        <v>1.9881149469331991</v>
      </c>
      <c r="O276" s="8">
        <f t="shared" si="711"/>
        <v>1.989395019375588</v>
      </c>
      <c r="P276" s="8">
        <f t="shared" si="711"/>
        <v>1.8400293801141812</v>
      </c>
      <c r="Q276" s="8">
        <f t="shared" si="711"/>
        <v>1.9417102760017684</v>
      </c>
      <c r="R276" s="8">
        <f t="shared" si="711"/>
        <v>1.9029783551096473</v>
      </c>
      <c r="S276" s="8">
        <f t="shared" si="711"/>
        <v>1.8781822251653597</v>
      </c>
      <c r="T276" s="8">
        <f t="shared" si="711"/>
        <v>1.9142187301084177</v>
      </c>
      <c r="U276" s="8">
        <f t="shared" si="711"/>
        <v>1.8444441462704575</v>
      </c>
      <c r="V276" s="8">
        <f t="shared" si="711"/>
        <v>1.7100712527515962</v>
      </c>
      <c r="W276" s="8">
        <f t="shared" si="711"/>
        <v>1.8493274161598472</v>
      </c>
      <c r="X276" s="8">
        <f t="shared" si="711"/>
        <v>1.8161583053590007</v>
      </c>
      <c r="Y276" s="8">
        <f t="shared" si="711"/>
        <v>1.7765965911714632</v>
      </c>
      <c r="Z276" s="8">
        <f t="shared" si="711"/>
        <v>1.6803239134313315</v>
      </c>
      <c r="AA276" s="8">
        <f t="shared" si="711"/>
        <v>1.7846335155894173</v>
      </c>
      <c r="AB276" s="8">
        <f t="shared" si="711"/>
        <v>1.9117449830848641</v>
      </c>
      <c r="AC276" s="8">
        <f t="shared" si="711"/>
        <v>1.8390897238903012</v>
      </c>
      <c r="AD276" s="8">
        <f t="shared" si="711"/>
        <v>1.609109128538549</v>
      </c>
      <c r="AE276" s="8">
        <f t="shared" si="711"/>
        <v>1.5452034404359214</v>
      </c>
      <c r="AF276" s="8">
        <f t="shared" si="711"/>
        <v>1.5687741041469712</v>
      </c>
      <c r="AG276" s="8">
        <f t="shared" si="711"/>
        <v>1.4002503388864498</v>
      </c>
      <c r="AH276" s="8">
        <f t="shared" si="711"/>
        <v>1.267976272350652</v>
      </c>
      <c r="AI276" s="8">
        <f t="shared" si="711"/>
        <v>1.1584840407584445</v>
      </c>
      <c r="AJ276" s="8">
        <f t="shared" si="711"/>
        <v>1.1641778746261131</v>
      </c>
      <c r="AK276" s="8">
        <f t="shared" si="711"/>
        <v>1.1453426359106322</v>
      </c>
      <c r="AL276" s="8">
        <f t="shared" si="711"/>
        <v>1.1175146422890654</v>
      </c>
      <c r="AM276" s="8">
        <f t="shared" si="711"/>
        <v>1.1119539071230276</v>
      </c>
      <c r="AN276" s="8">
        <f t="shared" si="711"/>
        <v>1.0446592709798408</v>
      </c>
      <c r="AO276" s="8">
        <f t="shared" si="711"/>
        <v>1.0093044609185633</v>
      </c>
      <c r="AP276" s="8">
        <f t="shared" si="711"/>
        <v>1.0289829743911971</v>
      </c>
      <c r="AQ276" s="8">
        <f t="shared" si="711"/>
        <v>1.1063722404871756</v>
      </c>
      <c r="AR276" s="8">
        <f t="shared" ref="AR276:AW276" si="712">AR275/AR321*100</f>
        <v>1.1067174216820594</v>
      </c>
      <c r="AS276" s="8">
        <f t="shared" si="712"/>
        <v>1.034024396749625</v>
      </c>
      <c r="AT276" s="40">
        <f t="shared" si="712"/>
        <v>0.95632817154700056</v>
      </c>
      <c r="AU276" s="40">
        <f t="shared" ref="AU276:AV276" si="713">AU275/AU321*100</f>
        <v>0.99408494002377823</v>
      </c>
      <c r="AV276" s="40">
        <f t="shared" si="713"/>
        <v>0.89442086255408759</v>
      </c>
      <c r="AW276" s="40">
        <f t="shared" si="712"/>
        <v>0.90028355031650087</v>
      </c>
      <c r="AX276" s="40">
        <f t="shared" ref="AX276:AY276" si="714">AX275/AX321*100</f>
        <v>0.86476472150856298</v>
      </c>
      <c r="AY276" s="40">
        <f t="shared" si="714"/>
        <v>0.30143782064764968</v>
      </c>
    </row>
    <row r="277" spans="1:51">
      <c r="A277" s="18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</row>
    <row r="278" spans="1:51" s="2" customFormat="1">
      <c r="A278" s="19"/>
      <c r="C278" s="3"/>
      <c r="D278" s="1">
        <f t="shared" ref="D278:AQ278" si="715">D2</f>
        <v>1975</v>
      </c>
      <c r="E278" s="1">
        <f t="shared" ref="E278" si="716">E2</f>
        <v>76</v>
      </c>
      <c r="F278" s="1">
        <f t="shared" si="715"/>
        <v>77</v>
      </c>
      <c r="G278" s="1">
        <f t="shared" si="715"/>
        <v>78</v>
      </c>
      <c r="H278" s="1">
        <f t="shared" si="715"/>
        <v>79</v>
      </c>
      <c r="I278" s="1">
        <f t="shared" si="715"/>
        <v>80</v>
      </c>
      <c r="J278" s="1">
        <f t="shared" si="715"/>
        <v>81</v>
      </c>
      <c r="K278" s="1">
        <f t="shared" si="715"/>
        <v>82</v>
      </c>
      <c r="L278" s="1">
        <f t="shared" si="715"/>
        <v>83</v>
      </c>
      <c r="M278" s="1">
        <f t="shared" si="715"/>
        <v>84</v>
      </c>
      <c r="N278" s="1">
        <f t="shared" si="715"/>
        <v>85</v>
      </c>
      <c r="O278" s="1">
        <f t="shared" si="715"/>
        <v>86</v>
      </c>
      <c r="P278" s="1">
        <f t="shared" si="715"/>
        <v>87</v>
      </c>
      <c r="Q278" s="1">
        <f t="shared" si="715"/>
        <v>88</v>
      </c>
      <c r="R278" s="1">
        <f t="shared" si="715"/>
        <v>89</v>
      </c>
      <c r="S278" s="1" t="str">
        <f t="shared" si="715"/>
        <v>90</v>
      </c>
      <c r="T278" s="1" t="str">
        <f t="shared" si="715"/>
        <v>91</v>
      </c>
      <c r="U278" s="1" t="str">
        <f t="shared" si="715"/>
        <v>92</v>
      </c>
      <c r="V278" s="1" t="str">
        <f t="shared" si="715"/>
        <v>93</v>
      </c>
      <c r="W278" s="1" t="str">
        <f t="shared" si="715"/>
        <v>94</v>
      </c>
      <c r="X278" s="1" t="str">
        <f t="shared" si="715"/>
        <v>95</v>
      </c>
      <c r="Y278" s="1" t="str">
        <f t="shared" si="715"/>
        <v>96</v>
      </c>
      <c r="Z278" s="1" t="str">
        <f t="shared" si="715"/>
        <v>97</v>
      </c>
      <c r="AA278" s="1" t="str">
        <f t="shared" si="715"/>
        <v>98</v>
      </c>
      <c r="AB278" s="1" t="str">
        <f t="shared" si="715"/>
        <v>99</v>
      </c>
      <c r="AC278" s="1" t="str">
        <f t="shared" si="715"/>
        <v>2000</v>
      </c>
      <c r="AD278" s="1" t="str">
        <f t="shared" si="715"/>
        <v>01</v>
      </c>
      <c r="AE278" s="1" t="str">
        <f t="shared" si="715"/>
        <v>02</v>
      </c>
      <c r="AF278" s="1" t="str">
        <f t="shared" si="715"/>
        <v>03</v>
      </c>
      <c r="AG278" s="1" t="str">
        <f t="shared" si="715"/>
        <v>04</v>
      </c>
      <c r="AH278" s="1" t="str">
        <f t="shared" si="715"/>
        <v>05</v>
      </c>
      <c r="AI278" s="1" t="str">
        <f t="shared" si="715"/>
        <v>06</v>
      </c>
      <c r="AJ278" s="1" t="str">
        <f t="shared" si="715"/>
        <v>07</v>
      </c>
      <c r="AK278" s="1" t="str">
        <f t="shared" si="715"/>
        <v>08</v>
      </c>
      <c r="AL278" s="1" t="str">
        <f t="shared" si="715"/>
        <v>09</v>
      </c>
      <c r="AM278" s="1" t="str">
        <f t="shared" si="715"/>
        <v>10</v>
      </c>
      <c r="AN278" s="1" t="str">
        <f t="shared" si="715"/>
        <v>11</v>
      </c>
      <c r="AO278" s="1" t="str">
        <f t="shared" si="715"/>
        <v>12</v>
      </c>
      <c r="AP278" s="1" t="str">
        <f t="shared" si="715"/>
        <v>13</v>
      </c>
      <c r="AQ278" s="1" t="str">
        <f t="shared" si="715"/>
        <v>14</v>
      </c>
      <c r="AR278" s="1" t="str">
        <f t="shared" ref="AR278:AS278" si="717">AR2</f>
        <v>15</v>
      </c>
      <c r="AS278" s="1" t="str">
        <f t="shared" si="717"/>
        <v>16</v>
      </c>
      <c r="AT278" s="1" t="str">
        <f t="shared" ref="AT278" si="718">AT2</f>
        <v>17</v>
      </c>
      <c r="AU278" s="1">
        <v>18</v>
      </c>
      <c r="AV278" s="1">
        <v>19</v>
      </c>
      <c r="AW278" s="1">
        <v>20</v>
      </c>
      <c r="AX278" s="1">
        <v>21</v>
      </c>
      <c r="AY278" s="1">
        <v>22</v>
      </c>
    </row>
    <row r="279" spans="1:51">
      <c r="A279" s="18" t="s">
        <v>7</v>
      </c>
      <c r="B279" s="3" t="s">
        <v>30</v>
      </c>
      <c r="C279" s="3" t="s">
        <v>8</v>
      </c>
      <c r="D279" s="4">
        <f t="shared" ref="D279:Q279" si="719">D269/D356</f>
        <v>31293.346153846152</v>
      </c>
      <c r="E279" s="4">
        <f t="shared" ref="E279" si="720">E269/E356</f>
        <v>37172.088607594938</v>
      </c>
      <c r="F279" s="4">
        <f t="shared" ref="F279" si="721">F269/F356</f>
        <v>42727.182926829271</v>
      </c>
      <c r="G279" s="4">
        <f t="shared" ref="G279" si="722">G269/G356</f>
        <v>47357.743902439026</v>
      </c>
      <c r="H279" s="4">
        <f t="shared" ref="H279" si="723">H269/H356</f>
        <v>51549.619047619046</v>
      </c>
      <c r="I279" s="4">
        <f t="shared" ref="I279" si="724">I269/I356</f>
        <v>55379.452380952382</v>
      </c>
      <c r="J279" s="4">
        <f t="shared" ref="J279" si="725">J269/J356</f>
        <v>61065.159090909088</v>
      </c>
      <c r="K279" s="4">
        <f t="shared" ref="K279" si="726">K269/K356</f>
        <v>61892.8202247191</v>
      </c>
      <c r="L279" s="4">
        <f t="shared" ref="L279" si="727">L269/L356</f>
        <v>64969.258426966291</v>
      </c>
      <c r="M279" s="4">
        <f t="shared" ref="M279" si="728">M269/M356</f>
        <v>64513.642105263156</v>
      </c>
      <c r="N279" s="4">
        <f t="shared" ref="N279" si="729">N269/N356</f>
        <v>79691.884210526317</v>
      </c>
      <c r="O279" s="4">
        <f t="shared" ref="O279" si="730">O269/O356</f>
        <v>67918.382352941175</v>
      </c>
      <c r="P279" s="4">
        <f t="shared" ref="P279" si="731">P269/P356</f>
        <v>67408.120370370365</v>
      </c>
      <c r="Q279" s="4">
        <f t="shared" si="719"/>
        <v>69557.34821428571</v>
      </c>
      <c r="R279" s="4">
        <f t="shared" ref="R279:Y279" si="732">R269/R356</f>
        <v>67558.558558558565</v>
      </c>
      <c r="S279" s="4">
        <f t="shared" si="732"/>
        <v>68577.358974358969</v>
      </c>
      <c r="T279" s="4">
        <f t="shared" si="732"/>
        <v>63429.6796875</v>
      </c>
      <c r="U279" s="4">
        <f t="shared" si="732"/>
        <v>66257.492307692301</v>
      </c>
      <c r="V279" s="4">
        <f t="shared" si="732"/>
        <v>62513.175182481755</v>
      </c>
      <c r="W279" s="4">
        <f t="shared" si="732"/>
        <v>61400.737931034484</v>
      </c>
      <c r="X279" s="4">
        <f t="shared" si="732"/>
        <v>61407.07894736842</v>
      </c>
      <c r="Y279" s="4">
        <f t="shared" si="732"/>
        <v>54611.775641025641</v>
      </c>
      <c r="Z279" s="4">
        <f t="shared" ref="Z279" si="733">Z269/Z356</f>
        <v>54811.858895705518</v>
      </c>
      <c r="AA279" s="4">
        <f t="shared" ref="AA279" si="734">AA269/AA356</f>
        <v>51681.191860465115</v>
      </c>
      <c r="AB279" s="4">
        <f t="shared" ref="AB279" si="735">AB269/AB356</f>
        <v>51782.133689839575</v>
      </c>
      <c r="AC279" s="4">
        <f t="shared" ref="AC279" si="736">AC269/AC356</f>
        <v>47008.567164179105</v>
      </c>
      <c r="AD279" s="4">
        <f t="shared" ref="AD279" si="737">AD269/AD356</f>
        <v>39972.566210045661</v>
      </c>
      <c r="AE279" s="4">
        <f t="shared" ref="AE279" si="738">AE269/AE356</f>
        <v>36744.420353982299</v>
      </c>
      <c r="AF279" s="4">
        <f t="shared" ref="AF279" si="739">AF269/AF356</f>
        <v>35368.85042735043</v>
      </c>
      <c r="AG279" s="4">
        <f t="shared" ref="AG279:AH279" si="740">AG269/AG356</f>
        <v>32803.169491525427</v>
      </c>
      <c r="AH279" s="4">
        <f t="shared" si="740"/>
        <v>29518.253061224488</v>
      </c>
      <c r="AI279" s="4">
        <f t="shared" ref="AI279:AJ279" si="741">AI269/AI356</f>
        <v>26600.229571984437</v>
      </c>
      <c r="AJ279" s="4">
        <f t="shared" si="741"/>
        <v>26048.667924528301</v>
      </c>
      <c r="AK279" s="4">
        <f t="shared" ref="AK279:AQ279" si="742">AK269/AK356</f>
        <v>23449.528517110266</v>
      </c>
      <c r="AL279" s="4">
        <f t="shared" si="742"/>
        <v>21444.778195488721</v>
      </c>
      <c r="AM279" s="4">
        <f t="shared" si="742"/>
        <v>20442.822878228781</v>
      </c>
      <c r="AN279" s="4">
        <f t="shared" si="742"/>
        <v>18154.866171003716</v>
      </c>
      <c r="AO279" s="4">
        <f t="shared" si="742"/>
        <v>17657.279693486591</v>
      </c>
      <c r="AP279" s="4">
        <f t="shared" si="742"/>
        <v>16823.398523985241</v>
      </c>
      <c r="AQ279" s="4">
        <f t="shared" si="742"/>
        <v>15167.414814814814</v>
      </c>
      <c r="AR279" s="4">
        <f t="shared" ref="AR279" si="743">AR269/AR356</f>
        <v>17012.007462686568</v>
      </c>
      <c r="AS279" s="4">
        <v>12280</v>
      </c>
      <c r="AT279" s="9">
        <f t="shared" ref="AT279:AY279" si="744">ROUND(AT269/AT$356,0)</f>
        <v>11703</v>
      </c>
      <c r="AU279" s="9">
        <f t="shared" si="744"/>
        <v>12424</v>
      </c>
      <c r="AV279" s="9">
        <f t="shared" si="744"/>
        <v>10115</v>
      </c>
      <c r="AW279" s="9">
        <f t="shared" si="744"/>
        <v>9539</v>
      </c>
      <c r="AX279" s="9">
        <f t="shared" si="744"/>
        <v>8547</v>
      </c>
      <c r="AY279" s="9">
        <f t="shared" si="744"/>
        <v>8081</v>
      </c>
    </row>
    <row r="280" spans="1:51">
      <c r="A280" s="18"/>
      <c r="B280" s="3" t="s">
        <v>21</v>
      </c>
      <c r="C280" s="3" t="s">
        <v>9</v>
      </c>
      <c r="D280" s="4">
        <f t="shared" ref="D280:Q280" si="745">D270/D356</f>
        <v>10080.115384615385</v>
      </c>
      <c r="E280" s="4">
        <f t="shared" ref="E280" si="746">E270/E356</f>
        <v>12909.303797468354</v>
      </c>
      <c r="F280" s="4">
        <f t="shared" ref="F280" si="747">F270/F356</f>
        <v>13320.963414634147</v>
      </c>
      <c r="G280" s="4">
        <f t="shared" ref="G280" si="748">G270/G356</f>
        <v>14285.634146341463</v>
      </c>
      <c r="H280" s="4">
        <f t="shared" ref="H280" si="749">H270/H356</f>
        <v>14572.904761904761</v>
      </c>
      <c r="I280" s="4">
        <f t="shared" ref="I280" si="750">I270/I356</f>
        <v>17525.452380952382</v>
      </c>
      <c r="J280" s="4">
        <f t="shared" ref="J280" si="751">J270/J356</f>
        <v>20127.284090909092</v>
      </c>
      <c r="K280" s="4">
        <f t="shared" ref="K280" si="752">K270/K356</f>
        <v>24481.067415730337</v>
      </c>
      <c r="L280" s="4">
        <f t="shared" ref="L280" si="753">L270/L356</f>
        <v>28344.022471910113</v>
      </c>
      <c r="M280" s="4">
        <f t="shared" ref="M280" si="754">M270/M356</f>
        <v>27086.389473684212</v>
      </c>
      <c r="N280" s="4">
        <f t="shared" ref="N280" si="755">N270/N356</f>
        <v>28555.873684210525</v>
      </c>
      <c r="O280" s="4">
        <f t="shared" ref="O280" si="756">O270/O356</f>
        <v>27070.901960784315</v>
      </c>
      <c r="P280" s="4">
        <f t="shared" ref="P280" si="757">P270/P356</f>
        <v>26547.981481481482</v>
      </c>
      <c r="Q280" s="4">
        <f t="shared" si="745"/>
        <v>27383.178571428572</v>
      </c>
      <c r="R280" s="4">
        <f t="shared" ref="R280:Y280" si="758">R270/R356</f>
        <v>26768.846846846845</v>
      </c>
      <c r="S280" s="4">
        <f t="shared" si="758"/>
        <v>30547.837606837606</v>
      </c>
      <c r="T280" s="4">
        <f t="shared" si="758"/>
        <v>29368.296875</v>
      </c>
      <c r="U280" s="4">
        <f t="shared" si="758"/>
        <v>30699.26923076923</v>
      </c>
      <c r="V280" s="4">
        <f t="shared" si="758"/>
        <v>30427.729927007298</v>
      </c>
      <c r="W280" s="4">
        <f t="shared" si="758"/>
        <v>28930.262068965516</v>
      </c>
      <c r="X280" s="4">
        <f t="shared" si="758"/>
        <v>29585.973684210527</v>
      </c>
      <c r="Y280" s="4">
        <f t="shared" si="758"/>
        <v>30674.589743589742</v>
      </c>
      <c r="Z280" s="4">
        <f t="shared" ref="Z280" si="759">Z270/Z356</f>
        <v>32015.815950920245</v>
      </c>
      <c r="AA280" s="4">
        <f t="shared" ref="AA280" si="760">AA270/AA356</f>
        <v>34034.093023255817</v>
      </c>
      <c r="AB280" s="4">
        <f t="shared" ref="AB280" si="761">AB270/AB356</f>
        <v>32588.54010695187</v>
      </c>
      <c r="AC280" s="4">
        <f t="shared" ref="AC280" si="762">AC270/AC356</f>
        <v>29853.189054726368</v>
      </c>
      <c r="AD280" s="4">
        <f t="shared" ref="AD280" si="763">AD270/AD356</f>
        <v>28597.753424657534</v>
      </c>
      <c r="AE280" s="4">
        <f t="shared" ref="AE280" si="764">AE270/AE356</f>
        <v>28318.721238938055</v>
      </c>
      <c r="AF280" s="4">
        <f t="shared" ref="AF280" si="765">AF270/AF356</f>
        <v>28120.162393162394</v>
      </c>
      <c r="AG280" s="4">
        <f t="shared" ref="AG280:AH280" si="766">AG270/AG356</f>
        <v>27050.872881355932</v>
      </c>
      <c r="AH280" s="4">
        <f t="shared" si="766"/>
        <v>23874.893877551021</v>
      </c>
      <c r="AI280" s="4">
        <f t="shared" ref="AI280:AJ280" si="767">AI270/AI356</f>
        <v>23321.599221789882</v>
      </c>
      <c r="AJ280" s="4">
        <f t="shared" si="767"/>
        <v>22178.664150943398</v>
      </c>
      <c r="AK280" s="4">
        <f t="shared" ref="AK280:AQ280" si="768">AK270/AK356</f>
        <v>19301.608365019012</v>
      </c>
      <c r="AL280" s="4">
        <f t="shared" si="768"/>
        <v>16805.24060150376</v>
      </c>
      <c r="AM280" s="4">
        <f t="shared" si="768"/>
        <v>14155.409594095941</v>
      </c>
      <c r="AN280" s="4">
        <f t="shared" si="768"/>
        <v>12896.442379182155</v>
      </c>
      <c r="AO280" s="4">
        <f t="shared" si="768"/>
        <v>12522.501915708812</v>
      </c>
      <c r="AP280" s="4">
        <f t="shared" si="768"/>
        <v>12128.523985239852</v>
      </c>
      <c r="AQ280" s="4">
        <f t="shared" si="768"/>
        <v>12211.751851851852</v>
      </c>
      <c r="AR280" s="4">
        <f t="shared" ref="AR280" si="769">AR270/AR356</f>
        <v>11086.182835820895</v>
      </c>
      <c r="AS280" s="4">
        <v>10323</v>
      </c>
      <c r="AT280" s="9">
        <f t="shared" ref="AT280" si="770">ROUND(AT270/AT$356,0)</f>
        <v>9580</v>
      </c>
      <c r="AU280" s="9">
        <f t="shared" ref="AU280:AV280" si="771">ROUND(AU270/AU$356,0)</f>
        <v>8728</v>
      </c>
      <c r="AV280" s="9">
        <f t="shared" si="771"/>
        <v>8198</v>
      </c>
      <c r="AW280" s="9">
        <f t="shared" ref="AW280:AX284" si="772">ROUND(AW270/AW$356,0)</f>
        <v>7941</v>
      </c>
      <c r="AX280" s="9">
        <f t="shared" si="772"/>
        <v>7299</v>
      </c>
      <c r="AY280" s="9">
        <f t="shared" ref="AY280" si="773">ROUND(AY270/AY$356,0)</f>
        <v>6891</v>
      </c>
    </row>
    <row r="281" spans="1:51">
      <c r="A281" s="18"/>
      <c r="C281" s="3" t="s">
        <v>11</v>
      </c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AG281" s="4">
        <f t="shared" ref="AG281:AH281" si="774">AG271/AG356</f>
        <v>3067.3728813559323</v>
      </c>
      <c r="AH281" s="4">
        <f t="shared" si="774"/>
        <v>4368.3999999999996</v>
      </c>
      <c r="AI281" s="4">
        <f t="shared" ref="AI281:AJ281" si="775">AI271/AI356</f>
        <v>5660.0700389105059</v>
      </c>
      <c r="AJ281" s="4">
        <f t="shared" si="775"/>
        <v>7375.9245283018872</v>
      </c>
      <c r="AK281" s="4">
        <f t="shared" ref="AK281:AQ281" si="776">AK271/AK356</f>
        <v>9800.2129277566546</v>
      </c>
      <c r="AL281" s="4">
        <f t="shared" si="776"/>
        <v>10974.563909774437</v>
      </c>
      <c r="AM281" s="4">
        <f t="shared" si="776"/>
        <v>11004.918819188191</v>
      </c>
      <c r="AN281" s="4">
        <f t="shared" si="776"/>
        <v>11766.918215613383</v>
      </c>
      <c r="AO281" s="4">
        <f t="shared" si="776"/>
        <v>12817.065134099617</v>
      </c>
      <c r="AP281" s="4">
        <f t="shared" si="776"/>
        <v>13570.107011070111</v>
      </c>
      <c r="AQ281" s="4">
        <f t="shared" si="776"/>
        <v>14096.488888888889</v>
      </c>
      <c r="AR281" s="4">
        <f t="shared" ref="AR281" si="777">AR271/AR356</f>
        <v>14515.794776119403</v>
      </c>
      <c r="AS281" s="4">
        <v>14184</v>
      </c>
      <c r="AT281" s="9">
        <f t="shared" ref="AT281" si="778">ROUND(AT271/AT$356,0)</f>
        <v>13845</v>
      </c>
      <c r="AU281" s="9">
        <f t="shared" ref="AU281:AV281" si="779">ROUND(AU271/AU$356,0)</f>
        <v>14573</v>
      </c>
      <c r="AV281" s="9">
        <f t="shared" si="779"/>
        <v>14513</v>
      </c>
      <c r="AW281" s="9">
        <f t="shared" si="772"/>
        <v>14338</v>
      </c>
      <c r="AX281" s="9">
        <f t="shared" si="772"/>
        <v>14589</v>
      </c>
      <c r="AY281" s="9">
        <f t="shared" ref="AY281" si="780">ROUND(AY271/AY$356,0)</f>
        <v>15743</v>
      </c>
    </row>
    <row r="282" spans="1:51">
      <c r="A282" s="18"/>
      <c r="C282" s="3" t="s">
        <v>26</v>
      </c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AM282" s="4">
        <f t="shared" ref="AM282:AQ282" si="781">AM272/AM356</f>
        <v>434.57564575645756</v>
      </c>
      <c r="AN282" s="4">
        <f t="shared" si="781"/>
        <v>229.24163568773236</v>
      </c>
      <c r="AO282" s="4">
        <f t="shared" si="781"/>
        <v>380.79693486590037</v>
      </c>
      <c r="AP282" s="4">
        <f t="shared" si="781"/>
        <v>642.44280442804427</v>
      </c>
      <c r="AQ282" s="4">
        <f t="shared" si="781"/>
        <v>741.03703703703707</v>
      </c>
      <c r="AR282" s="4">
        <f t="shared" ref="AR282" si="782">AR272/AR356</f>
        <v>547.94402985074623</v>
      </c>
      <c r="AS282" s="4">
        <v>745</v>
      </c>
      <c r="AT282" s="9">
        <f t="shared" ref="AT282" si="783">ROUND(AT272/AT$356,0)</f>
        <v>842</v>
      </c>
      <c r="AU282" s="9">
        <f t="shared" ref="AU282:AV282" si="784">ROUND(AU272/AU$356,0)</f>
        <v>708</v>
      </c>
      <c r="AV282" s="9">
        <f t="shared" si="784"/>
        <v>649</v>
      </c>
      <c r="AW282" s="9">
        <f t="shared" si="772"/>
        <v>1253</v>
      </c>
      <c r="AX282" s="9">
        <f t="shared" si="772"/>
        <v>1267</v>
      </c>
      <c r="AY282" s="9">
        <f t="shared" ref="AY282" si="785">ROUND(AY272/AY$356,0)</f>
        <v>907</v>
      </c>
    </row>
    <row r="283" spans="1:51">
      <c r="A283" s="18"/>
      <c r="C283" s="3" t="s">
        <v>24</v>
      </c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AM283" s="4">
        <f t="shared" ref="AM283:AQ283" si="786">AM273/AM356</f>
        <v>3610.6642066420663</v>
      </c>
      <c r="AN283" s="4">
        <f t="shared" si="786"/>
        <v>3870.2007434944239</v>
      </c>
      <c r="AO283" s="4">
        <f t="shared" si="786"/>
        <v>4285.5785440613026</v>
      </c>
      <c r="AP283" s="4">
        <f t="shared" si="786"/>
        <v>4311.19557195572</v>
      </c>
      <c r="AQ283" s="4">
        <f t="shared" si="786"/>
        <v>4523.4740740740745</v>
      </c>
      <c r="AR283" s="4">
        <f t="shared" ref="AR283" si="787">AR273/AR356</f>
        <v>4370.9029850746265</v>
      </c>
      <c r="AS283" s="4">
        <v>4212</v>
      </c>
      <c r="AT283" s="9">
        <f t="shared" ref="AT283" si="788">ROUND(AT273/AT$356,0)</f>
        <v>4477</v>
      </c>
      <c r="AU283" s="9">
        <f t="shared" ref="AU283:AV283" si="789">ROUND(AU273/AU$356,0)</f>
        <v>4543</v>
      </c>
      <c r="AV283" s="9">
        <f t="shared" si="789"/>
        <v>4630</v>
      </c>
      <c r="AW283" s="9">
        <f t="shared" si="772"/>
        <v>4831</v>
      </c>
      <c r="AX283" s="9">
        <f t="shared" si="772"/>
        <v>5143</v>
      </c>
      <c r="AY283" s="9">
        <f t="shared" ref="AY283" si="790">ROUND(AY273/AY$356,0)</f>
        <v>5346</v>
      </c>
    </row>
    <row r="284" spans="1:51">
      <c r="A284" s="18"/>
      <c r="C284" s="3" t="s">
        <v>10</v>
      </c>
      <c r="D284" s="4">
        <f t="shared" ref="D284:Q284" si="791">D274/D356</f>
        <v>1150.1153846153845</v>
      </c>
      <c r="E284" s="4">
        <f t="shared" ref="E284" si="792">E274/E356</f>
        <v>1113.5443037974683</v>
      </c>
      <c r="F284" s="4">
        <f t="shared" ref="F284" si="793">F274/F356</f>
        <v>1103.7317073170732</v>
      </c>
      <c r="G284" s="4">
        <f t="shared" ref="G284" si="794">G274/G356</f>
        <v>1255.9512195121952</v>
      </c>
      <c r="H284" s="4">
        <f t="shared" ref="H284" si="795">H274/H356</f>
        <v>1912.0952380952381</v>
      </c>
      <c r="I284" s="4">
        <f t="shared" ref="I284" si="796">I274/I356</f>
        <v>2720.1428571428573</v>
      </c>
      <c r="J284" s="4">
        <f t="shared" ref="J284" si="797">J274/J356</f>
        <v>2694.125</v>
      </c>
      <c r="K284" s="4">
        <f t="shared" ref="K284" si="798">K274/K356</f>
        <v>3011.7865168539324</v>
      </c>
      <c r="L284" s="4">
        <f t="shared" ref="L284" si="799">L274/L356</f>
        <v>4367.4382022471909</v>
      </c>
      <c r="M284" s="4">
        <f t="shared" ref="M284" si="800">M274/M356</f>
        <v>6012.6105263157897</v>
      </c>
      <c r="N284" s="4">
        <f t="shared" ref="N284" si="801">N274/N356</f>
        <v>5689.4947368421053</v>
      </c>
      <c r="O284" s="4">
        <f t="shared" ref="O284" si="802">O274/O356</f>
        <v>4868.5196078431372</v>
      </c>
      <c r="P284" s="4">
        <f t="shared" ref="P284" si="803">P274/P356</f>
        <v>5862.8888888888887</v>
      </c>
      <c r="Q284" s="4">
        <f t="shared" si="791"/>
        <v>5877.2857142857147</v>
      </c>
      <c r="R284" s="4">
        <f t="shared" ref="R284:Y284" si="804">R274/R356</f>
        <v>5748.9819819819822</v>
      </c>
      <c r="S284" s="4">
        <f t="shared" si="804"/>
        <v>6665.7521367521367</v>
      </c>
      <c r="T284" s="4">
        <f t="shared" si="804"/>
        <v>6269.2109375</v>
      </c>
      <c r="U284" s="4">
        <f t="shared" si="804"/>
        <v>7482.7769230769227</v>
      </c>
      <c r="V284" s="4">
        <f t="shared" si="804"/>
        <v>7598.2043795620439</v>
      </c>
      <c r="W284" s="4">
        <f t="shared" si="804"/>
        <v>12158.062068965517</v>
      </c>
      <c r="X284" s="4">
        <f t="shared" si="804"/>
        <v>10164.947368421053</v>
      </c>
      <c r="Y284" s="4">
        <f t="shared" si="804"/>
        <v>8467.3910256410254</v>
      </c>
      <c r="Z284" s="4">
        <f t="shared" ref="Z284" si="805">Z274/Z356</f>
        <v>8329.6134969325158</v>
      </c>
      <c r="AA284" s="4">
        <f t="shared" ref="AA284" si="806">AA274/AA356</f>
        <v>10159.85465116279</v>
      </c>
      <c r="AB284" s="4">
        <f t="shared" ref="AB284" si="807">AB274/AB356</f>
        <v>9888.2780748663099</v>
      </c>
      <c r="AC284" s="4">
        <f t="shared" ref="AC284" si="808">AC274/AC356</f>
        <v>8448.4228855721394</v>
      </c>
      <c r="AD284" s="4">
        <f t="shared" ref="AD284" si="809">AD274/AD356</f>
        <v>7327.6210045662101</v>
      </c>
      <c r="AE284" s="4">
        <f t="shared" ref="AE284" si="810">AE274/AE356</f>
        <v>7175.5132743362828</v>
      </c>
      <c r="AF284" s="4">
        <f t="shared" ref="AF284" si="811">AF274/AF356</f>
        <v>7219.166666666667</v>
      </c>
      <c r="AG284" s="4">
        <f t="shared" ref="AG284:AH284" si="812">AG274/AG356</f>
        <v>5335.6483050847455</v>
      </c>
      <c r="AH284" s="4">
        <f t="shared" si="812"/>
        <v>5070.0775510204085</v>
      </c>
      <c r="AI284" s="4">
        <f t="shared" ref="AI284:AJ284" si="813">AI274/AI356</f>
        <v>5237.3463035019458</v>
      </c>
      <c r="AJ284" s="4">
        <f t="shared" si="813"/>
        <v>5420.6113207547169</v>
      </c>
      <c r="AK284" s="4">
        <f t="shared" ref="AK284:AQ284" si="814">AK274/AK356</f>
        <v>5754.7680608365017</v>
      </c>
      <c r="AL284" s="4">
        <f t="shared" si="814"/>
        <v>5867.2894736842109</v>
      </c>
      <c r="AM284" s="4">
        <f t="shared" si="814"/>
        <v>3447.1808118081181</v>
      </c>
      <c r="AN284" s="4">
        <f t="shared" si="814"/>
        <v>3048.9665427509294</v>
      </c>
      <c r="AO284" s="4">
        <f t="shared" si="814"/>
        <v>3141.015325670498</v>
      </c>
      <c r="AP284" s="4">
        <f t="shared" si="814"/>
        <v>2720.2619926199263</v>
      </c>
      <c r="AQ284" s="4">
        <f t="shared" si="814"/>
        <v>2732.2962962962961</v>
      </c>
      <c r="AR284" s="4">
        <f t="shared" ref="AR284" si="815">AR274/AR356</f>
        <v>2139.3358208955224</v>
      </c>
      <c r="AS284" s="4">
        <v>2071</v>
      </c>
      <c r="AT284" s="9">
        <f t="shared" ref="AT284" si="816">ROUND(AT274/AT$356,0)</f>
        <v>2053</v>
      </c>
      <c r="AU284" s="9">
        <f t="shared" ref="AU284:AV284" si="817">ROUND(AU274/AU$356,0)</f>
        <v>2227</v>
      </c>
      <c r="AV284" s="9">
        <f t="shared" si="817"/>
        <v>1869</v>
      </c>
      <c r="AW284" s="9">
        <f t="shared" si="772"/>
        <v>1856</v>
      </c>
      <c r="AX284" s="9">
        <f t="shared" si="772"/>
        <v>2004</v>
      </c>
      <c r="AY284" s="9">
        <f t="shared" ref="AY284" si="818">ROUND(AY274/AY$356,0)</f>
        <v>1814</v>
      </c>
    </row>
    <row r="285" spans="1:51">
      <c r="A285" s="18"/>
      <c r="C285" s="3" t="s">
        <v>17</v>
      </c>
      <c r="D285" s="4">
        <f t="shared" ref="D285:Q285" si="819">D275/D356</f>
        <v>42523.576923076922</v>
      </c>
      <c r="E285" s="4">
        <f t="shared" ref="E285" si="820">E275/E356</f>
        <v>51194.936708860761</v>
      </c>
      <c r="F285" s="4">
        <f t="shared" ref="F285" si="821">F275/F356</f>
        <v>57151.878048780491</v>
      </c>
      <c r="G285" s="4">
        <f t="shared" ref="G285" si="822">G275/G356</f>
        <v>62899.329268292684</v>
      </c>
      <c r="H285" s="4">
        <f t="shared" ref="H285" si="823">H275/H356</f>
        <v>68034.619047619053</v>
      </c>
      <c r="I285" s="4">
        <f t="shared" ref="I285" si="824">I275/I356</f>
        <v>75625.047619047618</v>
      </c>
      <c r="J285" s="4">
        <f t="shared" ref="J285" si="825">J275/J356</f>
        <v>83886.568181818177</v>
      </c>
      <c r="K285" s="4">
        <f t="shared" ref="K285" si="826">K275/K356</f>
        <v>89385.674157303365</v>
      </c>
      <c r="L285" s="4">
        <f t="shared" ref="L285" si="827">L275/L356</f>
        <v>97680.719101123599</v>
      </c>
      <c r="M285" s="4">
        <f t="shared" ref="M285" si="828">M275/M356</f>
        <v>97612.642105263163</v>
      </c>
      <c r="N285" s="4">
        <f t="shared" ref="N285" si="829">N275/N356</f>
        <v>113937.25263157894</v>
      </c>
      <c r="O285" s="4">
        <f t="shared" ref="O285" si="830">O275/O356</f>
        <v>99857.803921568629</v>
      </c>
      <c r="P285" s="4">
        <f t="shared" ref="P285" si="831">P275/P356</f>
        <v>99818.990740740745</v>
      </c>
      <c r="Q285" s="4">
        <f t="shared" si="819"/>
        <v>102817.8125</v>
      </c>
      <c r="R285" s="4">
        <f t="shared" ref="R285:Y285" si="832">R275/R356</f>
        <v>100076.38738738738</v>
      </c>
      <c r="S285" s="4">
        <f t="shared" si="832"/>
        <v>105790.94871794872</v>
      </c>
      <c r="T285" s="4">
        <f t="shared" si="832"/>
        <v>99067.1875</v>
      </c>
      <c r="U285" s="4">
        <f t="shared" si="832"/>
        <v>104439.53846153847</v>
      </c>
      <c r="V285" s="4">
        <f t="shared" si="832"/>
        <v>100539.1094890511</v>
      </c>
      <c r="W285" s="4">
        <f t="shared" si="832"/>
        <v>102489.06206896552</v>
      </c>
      <c r="X285" s="4">
        <f t="shared" si="832"/>
        <v>101158</v>
      </c>
      <c r="Y285" s="4">
        <f t="shared" si="832"/>
        <v>93753.756410256407</v>
      </c>
      <c r="Z285" s="4">
        <f t="shared" ref="Z285" si="833">Z275/Z356</f>
        <v>95157.288343558277</v>
      </c>
      <c r="AA285" s="4">
        <f t="shared" ref="AA285" si="834">AA275/AA356</f>
        <v>95875.139534883725</v>
      </c>
      <c r="AB285" s="4">
        <f t="shared" ref="AB285" si="835">AB275/AB356</f>
        <v>94258.951871657759</v>
      </c>
      <c r="AC285" s="4">
        <f t="shared" ref="AC285" si="836">AC275/AC356</f>
        <v>85310.179104477618</v>
      </c>
      <c r="AD285" s="4">
        <f t="shared" ref="AD285" si="837">AD275/AD356</f>
        <v>75897.940639269407</v>
      </c>
      <c r="AE285" s="4">
        <f t="shared" ref="AE285" si="838">AE275/AE356</f>
        <v>72238.654867256642</v>
      </c>
      <c r="AF285" s="4">
        <f t="shared" ref="AF285" si="839">AF275/AF356</f>
        <v>70708.179487179485</v>
      </c>
      <c r="AG285" s="4">
        <f t="shared" ref="AG285:AH285" si="840">AG275/AG356</f>
        <v>68257.063559322036</v>
      </c>
      <c r="AH285" s="4">
        <f t="shared" si="840"/>
        <v>62831.624489795919</v>
      </c>
      <c r="AI285" s="4">
        <f t="shared" ref="AI285:AJ285" si="841">AI275/AI356</f>
        <v>60819.245136186772</v>
      </c>
      <c r="AJ285" s="4">
        <f t="shared" si="841"/>
        <v>61023.867924528298</v>
      </c>
      <c r="AK285" s="4">
        <f t="shared" ref="AK285:AQ285" si="842">AK275/AK356</f>
        <v>58306.117870722432</v>
      </c>
      <c r="AL285" s="4">
        <f t="shared" si="842"/>
        <v>55091.87218045113</v>
      </c>
      <c r="AM285" s="4">
        <f t="shared" si="842"/>
        <v>53095.571955719555</v>
      </c>
      <c r="AN285" s="4">
        <f t="shared" si="842"/>
        <v>49966.635687732341</v>
      </c>
      <c r="AO285" s="4">
        <f t="shared" si="842"/>
        <v>50804.237547892721</v>
      </c>
      <c r="AP285" s="4">
        <f t="shared" si="842"/>
        <v>50195.929889298895</v>
      </c>
      <c r="AQ285" s="4">
        <f t="shared" si="842"/>
        <v>49472.462962962964</v>
      </c>
      <c r="AR285" s="4">
        <f t="shared" ref="AR285" si="843">AR275/AR356</f>
        <v>49672.167910447759</v>
      </c>
      <c r="AS285" s="4">
        <v>43814</v>
      </c>
      <c r="AT285" s="9">
        <f t="shared" ref="AT285:AY285" si="844">SUM(AT279:AT284)</f>
        <v>42500</v>
      </c>
      <c r="AU285" s="9">
        <f t="shared" si="844"/>
        <v>43203</v>
      </c>
      <c r="AV285" s="9">
        <f t="shared" si="844"/>
        <v>39974</v>
      </c>
      <c r="AW285" s="9">
        <f t="shared" si="844"/>
        <v>39758</v>
      </c>
      <c r="AX285" s="9">
        <f t="shared" si="844"/>
        <v>38849</v>
      </c>
      <c r="AY285" s="9">
        <f t="shared" si="844"/>
        <v>38782</v>
      </c>
    </row>
    <row r="286" spans="1:51">
      <c r="A286" s="18"/>
      <c r="C286" s="10" t="s">
        <v>12</v>
      </c>
      <c r="D286" s="8">
        <f>D285/D339*100</f>
        <v>1.8361699300815437</v>
      </c>
      <c r="E286" s="8">
        <f>E285/E339*100</f>
        <v>1.915560733941478</v>
      </c>
      <c r="F286" s="8">
        <f t="shared" ref="F286:AQ286" si="845">F285/F339*100</f>
        <v>1.9344169862176857</v>
      </c>
      <c r="G286" s="8">
        <f t="shared" si="845"/>
        <v>1.9485762751565021</v>
      </c>
      <c r="H286" s="8">
        <f t="shared" si="845"/>
        <v>1.9297995430073323</v>
      </c>
      <c r="I286" s="8">
        <f t="shared" si="845"/>
        <v>1.8809747355656912</v>
      </c>
      <c r="J286" s="8">
        <f t="shared" si="845"/>
        <v>2.0414189736499937</v>
      </c>
      <c r="K286" s="8">
        <f t="shared" si="845"/>
        <v>1.9284912419711955</v>
      </c>
      <c r="L286" s="8">
        <f t="shared" si="845"/>
        <v>2.0455862184271463</v>
      </c>
      <c r="M286" s="8">
        <f t="shared" si="845"/>
        <v>1.9051008187577279</v>
      </c>
      <c r="N286" s="8">
        <f t="shared" si="845"/>
        <v>1.9881149469331987</v>
      </c>
      <c r="O286" s="8">
        <f t="shared" si="845"/>
        <v>1.9893950193755883</v>
      </c>
      <c r="P286" s="8">
        <f t="shared" si="845"/>
        <v>1.8400293801141812</v>
      </c>
      <c r="Q286" s="8">
        <f t="shared" si="845"/>
        <v>1.9417102760017684</v>
      </c>
      <c r="R286" s="8">
        <f t="shared" si="845"/>
        <v>1.9029783551096469</v>
      </c>
      <c r="S286" s="8">
        <f t="shared" si="845"/>
        <v>1.8781822251653597</v>
      </c>
      <c r="T286" s="8">
        <f t="shared" si="845"/>
        <v>1.9142187301084177</v>
      </c>
      <c r="U286" s="8">
        <f t="shared" si="845"/>
        <v>1.8444441462704579</v>
      </c>
      <c r="V286" s="8">
        <f t="shared" si="845"/>
        <v>1.7100712527515967</v>
      </c>
      <c r="W286" s="8">
        <f t="shared" si="845"/>
        <v>1.8493274161598467</v>
      </c>
      <c r="X286" s="8">
        <f t="shared" si="845"/>
        <v>1.8161583053590007</v>
      </c>
      <c r="Y286" s="8">
        <f t="shared" si="845"/>
        <v>1.7765965911714632</v>
      </c>
      <c r="Z286" s="8">
        <f t="shared" si="845"/>
        <v>1.6803239134313315</v>
      </c>
      <c r="AA286" s="8">
        <f t="shared" si="845"/>
        <v>1.7846335155894173</v>
      </c>
      <c r="AB286" s="8">
        <f t="shared" si="845"/>
        <v>1.9117449830848641</v>
      </c>
      <c r="AC286" s="8">
        <f t="shared" si="845"/>
        <v>1.8390897238903012</v>
      </c>
      <c r="AD286" s="8">
        <f t="shared" si="845"/>
        <v>1.609109128538549</v>
      </c>
      <c r="AE286" s="8">
        <f t="shared" si="845"/>
        <v>1.5452034404359214</v>
      </c>
      <c r="AF286" s="8">
        <f t="shared" si="845"/>
        <v>1.5687741041469707</v>
      </c>
      <c r="AG286" s="8">
        <f t="shared" si="845"/>
        <v>1.40025033888645</v>
      </c>
      <c r="AH286" s="8">
        <f t="shared" si="845"/>
        <v>1.267976272350652</v>
      </c>
      <c r="AI286" s="8">
        <f t="shared" si="845"/>
        <v>1.1584840407584445</v>
      </c>
      <c r="AJ286" s="8">
        <f t="shared" si="845"/>
        <v>1.1641778746261131</v>
      </c>
      <c r="AK286" s="8">
        <f t="shared" si="845"/>
        <v>1.1453426359106325</v>
      </c>
      <c r="AL286" s="8">
        <f t="shared" si="845"/>
        <v>1.1175146422890654</v>
      </c>
      <c r="AM286" s="8">
        <f t="shared" si="845"/>
        <v>1.1119539071230276</v>
      </c>
      <c r="AN286" s="8">
        <f t="shared" si="845"/>
        <v>1.0446592709798408</v>
      </c>
      <c r="AO286" s="8">
        <f t="shared" si="845"/>
        <v>1.0093044609185633</v>
      </c>
      <c r="AP286" s="8">
        <f t="shared" si="845"/>
        <v>1.0289829743911973</v>
      </c>
      <c r="AQ286" s="8">
        <f t="shared" si="845"/>
        <v>1.1063722404871756</v>
      </c>
      <c r="AR286" s="8">
        <f t="shared" ref="AR286:AT286" si="846">AR285/AR339*100</f>
        <v>1.1067174216820594</v>
      </c>
      <c r="AS286" s="8">
        <f t="shared" si="846"/>
        <v>1.0340157906897209</v>
      </c>
      <c r="AT286" s="40">
        <f t="shared" si="846"/>
        <v>0.95634152170520537</v>
      </c>
      <c r="AU286" s="40">
        <f t="shared" ref="AU286:AV286" si="847">AU285/AU339*100</f>
        <v>0.99408665716313038</v>
      </c>
      <c r="AV286" s="40">
        <f t="shared" si="847"/>
        <v>0.89441312700359965</v>
      </c>
      <c r="AW286" s="40">
        <f>AW285/AW339*100</f>
        <v>0.90029507836217459</v>
      </c>
      <c r="AX286" s="40">
        <f>AX285/AX339*100</f>
        <v>0.86476992613177561</v>
      </c>
      <c r="AY286" s="40">
        <f>AY285/AY339*100</f>
        <v>0.30145011143169975</v>
      </c>
    </row>
    <row r="287" spans="1:51">
      <c r="A287" s="18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</row>
    <row r="288" spans="1:51" s="22" customFormat="1">
      <c r="A288" s="25" t="s">
        <v>7</v>
      </c>
      <c r="B288" s="22" t="s">
        <v>2</v>
      </c>
      <c r="C288" s="22" t="s">
        <v>8</v>
      </c>
      <c r="D288" s="23">
        <v>2211354</v>
      </c>
      <c r="E288" s="23">
        <v>2502937</v>
      </c>
      <c r="F288" s="23">
        <v>2853629</v>
      </c>
      <c r="G288" s="23">
        <v>3543682</v>
      </c>
      <c r="H288" s="23">
        <v>3825612</v>
      </c>
      <c r="I288" s="23">
        <v>4171182</v>
      </c>
      <c r="J288" s="23">
        <v>4327133</v>
      </c>
      <c r="K288" s="23">
        <v>4304998</v>
      </c>
      <c r="L288" s="23">
        <f>2600301+1970925</f>
        <v>4571226</v>
      </c>
      <c r="M288" s="23">
        <f>2823214+2055233</f>
        <v>4878447</v>
      </c>
      <c r="N288" s="23">
        <f>2918617+2163666</f>
        <v>5082283</v>
      </c>
      <c r="O288" s="23">
        <f>3122634+2060370</f>
        <v>5183004</v>
      </c>
      <c r="P288" s="23">
        <f>3206382+2094342</f>
        <v>5300724</v>
      </c>
      <c r="Q288" s="23">
        <f>3064941+2100334</f>
        <v>5165275</v>
      </c>
      <c r="R288" s="23">
        <f>3271449+2380964</f>
        <v>5652413</v>
      </c>
      <c r="S288" s="23">
        <f>3137191+2332476</f>
        <v>5469667</v>
      </c>
      <c r="T288" s="23">
        <f>3334946+2300721</f>
        <v>5635667</v>
      </c>
      <c r="U288" s="23">
        <f>3406257+2641176</f>
        <v>6047433</v>
      </c>
      <c r="V288" s="23">
        <f>3631913+2562481</f>
        <v>6194394</v>
      </c>
      <c r="W288" s="23">
        <f>3565541+2153876</f>
        <v>5719417</v>
      </c>
      <c r="X288" s="23">
        <f>3612488+2012815</f>
        <v>5625303</v>
      </c>
      <c r="Y288" s="23">
        <f>3736730+1982861</f>
        <v>5719591</v>
      </c>
      <c r="Z288" s="23">
        <f>3538659+1869086</f>
        <v>5407745</v>
      </c>
      <c r="AA288" s="23">
        <f>3407124+1858025</f>
        <v>5265149</v>
      </c>
      <c r="AB288" s="23">
        <f>3890070+2031904</f>
        <v>5921974</v>
      </c>
      <c r="AC288" s="23">
        <f>3420920+1510199</f>
        <v>4931119</v>
      </c>
      <c r="AD288" s="23">
        <v>4349310</v>
      </c>
      <c r="AE288" s="23">
        <v>3887738</v>
      </c>
      <c r="AF288" s="23">
        <v>3762682</v>
      </c>
      <c r="AG288" s="23">
        <v>3637117</v>
      </c>
      <c r="AH288" s="23">
        <v>3525296</v>
      </c>
      <c r="AI288" s="23">
        <v>3485778</v>
      </c>
      <c r="AJ288" s="23">
        <v>2592106</v>
      </c>
      <c r="AK288" s="23">
        <v>2408876</v>
      </c>
      <c r="AL288" s="23">
        <v>2016034</v>
      </c>
      <c r="AM288" s="23">
        <v>2105646</v>
      </c>
      <c r="AN288" s="23">
        <v>1928085</v>
      </c>
      <c r="AO288" s="23">
        <v>1794566</v>
      </c>
      <c r="AP288" s="23">
        <v>1592382</v>
      </c>
      <c r="AQ288" s="23">
        <v>1511332</v>
      </c>
      <c r="AR288" s="23">
        <v>1372130</v>
      </c>
      <c r="AS288" s="23">
        <v>1298127</v>
      </c>
      <c r="AT288" s="23">
        <v>1176101</v>
      </c>
      <c r="AU288" s="23">
        <v>989209</v>
      </c>
      <c r="AV288" s="39">
        <v>1001404</v>
      </c>
      <c r="AW288" s="39">
        <v>1168019</v>
      </c>
      <c r="AX288" s="39">
        <v>890174</v>
      </c>
      <c r="AY288" s="39">
        <v>815840</v>
      </c>
    </row>
    <row r="289" spans="1:51">
      <c r="A289" s="18"/>
      <c r="B289" s="3" t="s">
        <v>21</v>
      </c>
      <c r="C289" s="3" t="s">
        <v>9</v>
      </c>
      <c r="D289" s="4">
        <v>1250253</v>
      </c>
      <c r="E289" s="4">
        <v>1312263</v>
      </c>
      <c r="F289" s="4">
        <v>1393059</v>
      </c>
      <c r="G289" s="4">
        <v>1459872</v>
      </c>
      <c r="H289" s="4">
        <v>1651799</v>
      </c>
      <c r="I289" s="4">
        <v>1891095</v>
      </c>
      <c r="J289" s="4">
        <v>2141759</v>
      </c>
      <c r="K289" s="4">
        <f>520365+1894020</f>
        <v>2414385</v>
      </c>
      <c r="L289" s="4">
        <f>565507+1997651</f>
        <v>2563158</v>
      </c>
      <c r="M289" s="4">
        <f>609791+2011312</f>
        <v>2621103</v>
      </c>
      <c r="N289" s="4">
        <f>634284+2108847</f>
        <v>2743131</v>
      </c>
      <c r="O289" s="4">
        <f>666193+2120666</f>
        <v>2786859</v>
      </c>
      <c r="P289" s="4">
        <f>642404+2104367</f>
        <v>2746771</v>
      </c>
      <c r="Q289" s="4">
        <f>678912+2119297</f>
        <v>2798209</v>
      </c>
      <c r="R289" s="4">
        <f>704484+2297845</f>
        <v>3002329</v>
      </c>
      <c r="S289" s="4">
        <f>712252+2521548</f>
        <v>3233800</v>
      </c>
      <c r="T289" s="4">
        <f>845160+2642714</f>
        <v>3487874</v>
      </c>
      <c r="U289" s="4">
        <f>843454+2863967</f>
        <v>3707421</v>
      </c>
      <c r="V289" s="4">
        <f>867642+2885525</f>
        <v>3753167</v>
      </c>
      <c r="W289" s="4">
        <f>848988+2618508</f>
        <v>3467496</v>
      </c>
      <c r="X289" s="4">
        <f>836916+2621094</f>
        <v>3458010</v>
      </c>
      <c r="Y289" s="4">
        <f>825834+2826519</f>
        <v>3652353</v>
      </c>
      <c r="Z289" s="4">
        <f>806477+3007708</f>
        <v>3814185</v>
      </c>
      <c r="AA289" s="4">
        <f>803537+3323313</f>
        <v>4126850</v>
      </c>
      <c r="AB289" s="4">
        <f>843540+3161365</f>
        <v>4004905</v>
      </c>
      <c r="AC289" s="4">
        <f>849254+2965838</f>
        <v>3815092</v>
      </c>
      <c r="AD289" s="4">
        <v>3501501</v>
      </c>
      <c r="AE289" s="4">
        <v>3493096</v>
      </c>
      <c r="AF289" s="4">
        <v>3448066</v>
      </c>
      <c r="AG289" s="4">
        <v>3322347</v>
      </c>
      <c r="AH289" s="4">
        <v>3067571</v>
      </c>
      <c r="AI289" s="4">
        <v>2689087</v>
      </c>
      <c r="AJ289" s="4">
        <v>2157524</v>
      </c>
      <c r="AK289" s="4">
        <v>2000659</v>
      </c>
      <c r="AL289" s="4">
        <v>1593300</v>
      </c>
      <c r="AM289" s="4">
        <v>1402125</v>
      </c>
      <c r="AN289" s="4">
        <v>1274482</v>
      </c>
      <c r="AO289" s="4">
        <v>1198131</v>
      </c>
      <c r="AP289" s="4">
        <v>1117938</v>
      </c>
      <c r="AQ289" s="4">
        <v>1106839</v>
      </c>
      <c r="AR289" s="4">
        <v>1036934</v>
      </c>
      <c r="AS289" s="4">
        <v>878706</v>
      </c>
      <c r="AT289" s="4">
        <v>795214</v>
      </c>
      <c r="AU289" s="4">
        <v>701287</v>
      </c>
      <c r="AV289" s="4">
        <v>657797</v>
      </c>
      <c r="AW289" s="4">
        <v>637984</v>
      </c>
      <c r="AX289" s="4">
        <v>577430</v>
      </c>
      <c r="AY289" s="4">
        <v>549531</v>
      </c>
    </row>
    <row r="290" spans="1:51">
      <c r="A290" s="18"/>
      <c r="C290" s="3" t="s">
        <v>11</v>
      </c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AG290" s="4">
        <v>333443</v>
      </c>
      <c r="AH290" s="4">
        <v>537553</v>
      </c>
      <c r="AI290" s="4">
        <v>685892</v>
      </c>
      <c r="AJ290" s="4">
        <v>985470</v>
      </c>
      <c r="AK290" s="4">
        <v>1187341</v>
      </c>
      <c r="AL290" s="4">
        <v>1285236</v>
      </c>
      <c r="AM290" s="4">
        <v>1314984</v>
      </c>
      <c r="AN290" s="4">
        <v>1505527</v>
      </c>
      <c r="AO290" s="4">
        <v>1648181</v>
      </c>
      <c r="AP290" s="4">
        <v>1825051</v>
      </c>
      <c r="AQ290" s="4">
        <v>2159934</v>
      </c>
      <c r="AR290" s="4">
        <v>2155132</v>
      </c>
      <c r="AS290" s="4">
        <v>2020144</v>
      </c>
      <c r="AT290" s="4">
        <v>1933203</v>
      </c>
      <c r="AU290" s="4">
        <v>1982303</v>
      </c>
      <c r="AV290" s="4">
        <v>2032075</v>
      </c>
      <c r="AW290" s="4">
        <v>1956387</v>
      </c>
      <c r="AX290" s="4">
        <v>1824464</v>
      </c>
      <c r="AY290" s="4">
        <v>1950505</v>
      </c>
    </row>
    <row r="291" spans="1:51">
      <c r="A291" s="18"/>
      <c r="C291" s="3" t="s">
        <v>26</v>
      </c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AM291" s="4">
        <v>29439</v>
      </c>
      <c r="AN291" s="4">
        <v>156562</v>
      </c>
      <c r="AO291" s="4">
        <v>145088</v>
      </c>
      <c r="AP291" s="4">
        <v>62074</v>
      </c>
      <c r="AQ291" s="4">
        <v>84983</v>
      </c>
      <c r="AR291" s="4">
        <v>78152</v>
      </c>
      <c r="AS291" s="4">
        <v>119754</v>
      </c>
      <c r="AT291" s="4">
        <v>90021</v>
      </c>
      <c r="AU291" s="4">
        <v>103822</v>
      </c>
      <c r="AV291" s="4">
        <v>121423</v>
      </c>
      <c r="AW291" s="4">
        <v>224924</v>
      </c>
      <c r="AX291" s="4">
        <v>169835</v>
      </c>
      <c r="AY291" s="4">
        <v>152086</v>
      </c>
    </row>
    <row r="292" spans="1:51">
      <c r="A292" s="18"/>
      <c r="C292" s="3" t="s">
        <v>24</v>
      </c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AM292" s="4">
        <v>438542</v>
      </c>
      <c r="AN292" s="4">
        <v>414676</v>
      </c>
      <c r="AO292" s="4">
        <v>443885</v>
      </c>
      <c r="AP292" s="4">
        <v>473659</v>
      </c>
      <c r="AQ292" s="4">
        <v>513897</v>
      </c>
      <c r="AR292" s="4">
        <v>527454</v>
      </c>
      <c r="AS292" s="4">
        <v>540728</v>
      </c>
      <c r="AT292" s="4">
        <v>537678</v>
      </c>
      <c r="AU292" s="4">
        <v>525626</v>
      </c>
      <c r="AV292" s="4">
        <v>554490</v>
      </c>
      <c r="AW292" s="4">
        <v>545521</v>
      </c>
      <c r="AX292" s="4">
        <v>547090</v>
      </c>
      <c r="AY292" s="4">
        <v>578402</v>
      </c>
    </row>
    <row r="293" spans="1:51">
      <c r="A293" s="18"/>
      <c r="C293" s="3" t="s">
        <v>10</v>
      </c>
      <c r="D293" s="4">
        <v>11019</v>
      </c>
      <c r="E293" s="4">
        <v>155398</v>
      </c>
      <c r="F293" s="4">
        <v>134719</v>
      </c>
      <c r="G293" s="4">
        <v>189979</v>
      </c>
      <c r="H293" s="4">
        <v>241378</v>
      </c>
      <c r="I293" s="4">
        <v>219965</v>
      </c>
      <c r="J293" s="4">
        <v>303201</v>
      </c>
      <c r="K293" s="4">
        <v>302029</v>
      </c>
      <c r="L293" s="4">
        <v>395194</v>
      </c>
      <c r="M293" s="4">
        <v>405375</v>
      </c>
      <c r="N293" s="4">
        <v>412341</v>
      </c>
      <c r="O293" s="4">
        <v>456969</v>
      </c>
      <c r="P293" s="4">
        <v>564222</v>
      </c>
      <c r="Q293" s="4">
        <v>547788</v>
      </c>
      <c r="R293" s="4">
        <v>503471</v>
      </c>
      <c r="S293" s="4">
        <v>531523</v>
      </c>
      <c r="T293" s="4">
        <v>620194</v>
      </c>
      <c r="U293" s="4">
        <v>714143</v>
      </c>
      <c r="V293" s="4">
        <v>680174</v>
      </c>
      <c r="W293" s="4">
        <v>753402</v>
      </c>
      <c r="X293" s="4">
        <v>759853</v>
      </c>
      <c r="Y293" s="4">
        <v>812893</v>
      </c>
      <c r="Z293" s="4">
        <v>808937</v>
      </c>
      <c r="AA293" s="4">
        <v>994744</v>
      </c>
      <c r="AB293" s="4">
        <v>874567</v>
      </c>
      <c r="AC293" s="4">
        <v>911813</v>
      </c>
      <c r="AD293" s="4">
        <v>744348</v>
      </c>
      <c r="AE293" s="4">
        <v>677428</v>
      </c>
      <c r="AF293" s="4">
        <v>764753</v>
      </c>
      <c r="AG293" s="4">
        <v>570749</v>
      </c>
      <c r="AH293" s="4">
        <v>574684</v>
      </c>
      <c r="AI293" s="4">
        <v>635254</v>
      </c>
      <c r="AJ293" s="4">
        <v>584294</v>
      </c>
      <c r="AK293" s="4">
        <v>634584</v>
      </c>
      <c r="AL293" s="4">
        <v>580964</v>
      </c>
      <c r="AM293" s="4">
        <v>285872</v>
      </c>
      <c r="AN293" s="4">
        <v>266402</v>
      </c>
      <c r="AO293" s="4">
        <v>252378</v>
      </c>
      <c r="AP293" s="4">
        <v>257011</v>
      </c>
      <c r="AQ293" s="4">
        <v>214300</v>
      </c>
      <c r="AR293" s="4">
        <v>224269</v>
      </c>
      <c r="AS293" s="4">
        <v>211640</v>
      </c>
      <c r="AT293" s="9">
        <v>177447</v>
      </c>
      <c r="AU293" s="9">
        <v>169588</v>
      </c>
      <c r="AV293" s="9">
        <v>332958</v>
      </c>
      <c r="AW293" s="9">
        <v>143547</v>
      </c>
      <c r="AX293" s="9">
        <v>152557</v>
      </c>
      <c r="AY293" s="9">
        <v>133399</v>
      </c>
    </row>
    <row r="294" spans="1:51">
      <c r="A294" s="18"/>
      <c r="C294" s="3" t="s">
        <v>17</v>
      </c>
      <c r="D294" s="4">
        <v>3571801</v>
      </c>
      <c r="E294" s="4">
        <v>3970598</v>
      </c>
      <c r="F294" s="4">
        <v>4381407</v>
      </c>
      <c r="G294" s="4">
        <v>5193533</v>
      </c>
      <c r="H294" s="4">
        <v>5718789</v>
      </c>
      <c r="I294" s="4">
        <v>6282242</v>
      </c>
      <c r="J294" s="4">
        <v>6772093</v>
      </c>
      <c r="K294" s="4">
        <v>7021412</v>
      </c>
      <c r="L294" s="4">
        <v>7529578</v>
      </c>
      <c r="M294" s="4">
        <v>7904925</v>
      </c>
      <c r="N294" s="4">
        <v>8237755</v>
      </c>
      <c r="O294" s="4">
        <v>8426832</v>
      </c>
      <c r="P294" s="4">
        <v>8611717</v>
      </c>
      <c r="Q294" s="4">
        <v>8511272</v>
      </c>
      <c r="R294" s="4">
        <v>9158213</v>
      </c>
      <c r="S294" s="4">
        <v>9234990</v>
      </c>
      <c r="T294" s="4">
        <v>9743735</v>
      </c>
      <c r="U294" s="4">
        <v>10468997</v>
      </c>
      <c r="V294" s="4">
        <v>10627735</v>
      </c>
      <c r="W294" s="4">
        <v>9940315</v>
      </c>
      <c r="X294" s="4">
        <v>9843166</v>
      </c>
      <c r="Y294" s="4">
        <v>10184837</v>
      </c>
      <c r="Z294" s="4">
        <v>10030867</v>
      </c>
      <c r="AA294" s="4">
        <v>10386743</v>
      </c>
      <c r="AB294" s="4">
        <v>10801446</v>
      </c>
      <c r="AC294" s="4">
        <v>9658024</v>
      </c>
      <c r="AD294" s="4">
        <v>8595159</v>
      </c>
      <c r="AE294" s="4">
        <v>8058262</v>
      </c>
      <c r="AF294" s="4">
        <v>7975501</v>
      </c>
      <c r="AG294" s="4">
        <v>7863656</v>
      </c>
      <c r="AH294" s="4">
        <v>7705104</v>
      </c>
      <c r="AI294" s="4">
        <v>7496011</v>
      </c>
      <c r="AJ294" s="4">
        <v>6319394</v>
      </c>
      <c r="AK294" s="4">
        <v>6231460</v>
      </c>
      <c r="AL294" s="4">
        <v>5475534</v>
      </c>
      <c r="AM294" s="4">
        <v>5576608</v>
      </c>
      <c r="AN294" s="4">
        <v>5545734</v>
      </c>
      <c r="AO294" s="4">
        <v>5482229</v>
      </c>
      <c r="AP294" s="4">
        <v>5328115</v>
      </c>
      <c r="AQ294" s="4">
        <v>5591285</v>
      </c>
      <c r="AR294" s="4">
        <v>5394071</v>
      </c>
      <c r="AS294" s="4">
        <v>5069099</v>
      </c>
      <c r="AT294" s="9">
        <f t="shared" ref="AT294:AY294" si="848">SUM(AT288:AT293)</f>
        <v>4709664</v>
      </c>
      <c r="AU294" s="9">
        <f t="shared" si="848"/>
        <v>4471835</v>
      </c>
      <c r="AV294" s="9">
        <f t="shared" si="848"/>
        <v>4700147</v>
      </c>
      <c r="AW294" s="9">
        <f t="shared" si="848"/>
        <v>4676382</v>
      </c>
      <c r="AX294" s="9">
        <f t="shared" si="848"/>
        <v>4161550</v>
      </c>
      <c r="AY294" s="9">
        <f t="shared" si="848"/>
        <v>4179763</v>
      </c>
    </row>
    <row r="295" spans="1:51">
      <c r="A295" s="18"/>
      <c r="C295" s="10" t="s">
        <v>12</v>
      </c>
      <c r="D295" s="8">
        <f>D294/D322*100</f>
        <v>1.8070154758351336</v>
      </c>
      <c r="E295" s="8">
        <f>E294/E322*100</f>
        <v>1.534868744032502</v>
      </c>
      <c r="F295" s="8">
        <f t="shared" ref="F295:AQ295" si="849">F294/F322*100</f>
        <v>1.5681485325697926</v>
      </c>
      <c r="G295" s="8">
        <f t="shared" si="849"/>
        <v>1.540851668565461</v>
      </c>
      <c r="H295" s="8">
        <f t="shared" si="849"/>
        <v>1.7274186435015155</v>
      </c>
      <c r="I295" s="8">
        <f t="shared" si="849"/>
        <v>1.6584477186774897</v>
      </c>
      <c r="J295" s="8">
        <f t="shared" si="849"/>
        <v>1.756106234244774</v>
      </c>
      <c r="K295" s="8">
        <f t="shared" si="849"/>
        <v>1.6165942343250053</v>
      </c>
      <c r="L295" s="8">
        <f t="shared" si="849"/>
        <v>1.6745833826710743</v>
      </c>
      <c r="M295" s="8">
        <f t="shared" si="849"/>
        <v>1.4753535346416744</v>
      </c>
      <c r="N295" s="8">
        <f t="shared" si="849"/>
        <v>1.5511801484010241</v>
      </c>
      <c r="O295" s="8">
        <f t="shared" si="849"/>
        <v>1.4578347710482455</v>
      </c>
      <c r="P295" s="8">
        <f t="shared" si="849"/>
        <v>1.4098471640580901</v>
      </c>
      <c r="Q295" s="8">
        <f t="shared" si="849"/>
        <v>1.3361012607119862</v>
      </c>
      <c r="R295" s="8">
        <f t="shared" si="849"/>
        <v>1.2957863681183943</v>
      </c>
      <c r="S295" s="8">
        <f t="shared" si="849"/>
        <v>1.4560826839158114</v>
      </c>
      <c r="T295" s="8">
        <f t="shared" si="849"/>
        <v>1.4077348221023245</v>
      </c>
      <c r="U295" s="8">
        <f t="shared" si="849"/>
        <v>1.4173910813438471</v>
      </c>
      <c r="V295" s="8">
        <f t="shared" si="849"/>
        <v>1.4736288961772079</v>
      </c>
      <c r="W295" s="8">
        <f t="shared" si="849"/>
        <v>1.3227745416494257</v>
      </c>
      <c r="X295" s="8">
        <f t="shared" si="849"/>
        <v>1.3878536482405268</v>
      </c>
      <c r="Y295" s="8">
        <f t="shared" si="849"/>
        <v>1.3873671007389381</v>
      </c>
      <c r="Z295" s="8">
        <f t="shared" si="849"/>
        <v>1.4333849217278647</v>
      </c>
      <c r="AA295" s="8">
        <f t="shared" si="849"/>
        <v>1.417148011822988</v>
      </c>
      <c r="AB295" s="8">
        <f t="shared" si="849"/>
        <v>1.4339086665904939</v>
      </c>
      <c r="AC295" s="8">
        <f t="shared" si="849"/>
        <v>1.3028324969026948</v>
      </c>
      <c r="AD295" s="8">
        <f t="shared" si="849"/>
        <v>1.0977301059958544</v>
      </c>
      <c r="AE295" s="8">
        <f t="shared" si="849"/>
        <v>1.2769837479768753</v>
      </c>
      <c r="AF295" s="8">
        <f t="shared" si="849"/>
        <v>1.2512150692267066</v>
      </c>
      <c r="AG295" s="8">
        <f t="shared" si="849"/>
        <v>1.1152057004502862</v>
      </c>
      <c r="AH295" s="8">
        <f t="shared" si="849"/>
        <v>1.0915695581433105</v>
      </c>
      <c r="AI295" s="8">
        <f t="shared" si="849"/>
        <v>1.1459361608309624</v>
      </c>
      <c r="AJ295" s="8">
        <f t="shared" si="849"/>
        <v>1.0871669804548079</v>
      </c>
      <c r="AK295" s="8">
        <f t="shared" si="849"/>
        <v>1.0563120276561706</v>
      </c>
      <c r="AL295" s="8">
        <f t="shared" si="849"/>
        <v>0.93175917952323128</v>
      </c>
      <c r="AM295" s="8">
        <f t="shared" si="849"/>
        <v>0.94107991260939872</v>
      </c>
      <c r="AN295" s="8">
        <f t="shared" si="849"/>
        <v>0.95911401258226658</v>
      </c>
      <c r="AO295" s="8">
        <f t="shared" si="849"/>
        <v>0.88888772940888205</v>
      </c>
      <c r="AP295" s="8">
        <f t="shared" si="849"/>
        <v>0.92891305116408041</v>
      </c>
      <c r="AQ295" s="8">
        <f t="shared" si="849"/>
        <v>1.0313024949973313</v>
      </c>
      <c r="AR295" s="8">
        <f t="shared" ref="AR295:AW295" si="850">AR294/AR322*100</f>
        <v>0.93068009259989737</v>
      </c>
      <c r="AS295" s="8">
        <f t="shared" si="850"/>
        <v>0.93887838810727575</v>
      </c>
      <c r="AT295" s="40">
        <f t="shared" si="850"/>
        <v>1.1507412004501698</v>
      </c>
      <c r="AU295" s="40">
        <f t="shared" ref="AU295:AV295" si="851">AU294/AU322*100</f>
        <v>1.1391600449102397</v>
      </c>
      <c r="AV295" s="40">
        <f t="shared" si="851"/>
        <v>1.1959455315042939</v>
      </c>
      <c r="AW295" s="40">
        <f t="shared" si="850"/>
        <v>1.201766711800508</v>
      </c>
      <c r="AX295" s="40">
        <f t="shared" ref="AX295:AY295" si="852">AX294/AX322*100</f>
        <v>1.1121414007077202</v>
      </c>
      <c r="AY295" s="40">
        <f t="shared" si="852"/>
        <v>1.0751544196423495</v>
      </c>
    </row>
    <row r="296" spans="1:51">
      <c r="A296" s="18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</row>
    <row r="297" spans="1:51" s="2" customFormat="1">
      <c r="A297" s="19"/>
      <c r="C297" s="3"/>
      <c r="D297" s="1">
        <f t="shared" ref="D297:AQ297" si="853">D2</f>
        <v>1975</v>
      </c>
      <c r="E297" s="1">
        <f t="shared" ref="E297" si="854">E2</f>
        <v>76</v>
      </c>
      <c r="F297" s="1">
        <f t="shared" si="853"/>
        <v>77</v>
      </c>
      <c r="G297" s="1">
        <f t="shared" si="853"/>
        <v>78</v>
      </c>
      <c r="H297" s="1">
        <f t="shared" si="853"/>
        <v>79</v>
      </c>
      <c r="I297" s="1">
        <f t="shared" si="853"/>
        <v>80</v>
      </c>
      <c r="J297" s="1">
        <f t="shared" si="853"/>
        <v>81</v>
      </c>
      <c r="K297" s="1">
        <f t="shared" si="853"/>
        <v>82</v>
      </c>
      <c r="L297" s="1">
        <f t="shared" si="853"/>
        <v>83</v>
      </c>
      <c r="M297" s="1">
        <f t="shared" si="853"/>
        <v>84</v>
      </c>
      <c r="N297" s="1">
        <f t="shared" si="853"/>
        <v>85</v>
      </c>
      <c r="O297" s="1">
        <f t="shared" si="853"/>
        <v>86</v>
      </c>
      <c r="P297" s="1">
        <f t="shared" si="853"/>
        <v>87</v>
      </c>
      <c r="Q297" s="1">
        <f t="shared" si="853"/>
        <v>88</v>
      </c>
      <c r="R297" s="1">
        <f t="shared" si="853"/>
        <v>89</v>
      </c>
      <c r="S297" s="1" t="str">
        <f t="shared" si="853"/>
        <v>90</v>
      </c>
      <c r="T297" s="1" t="str">
        <f t="shared" si="853"/>
        <v>91</v>
      </c>
      <c r="U297" s="1" t="str">
        <f t="shared" si="853"/>
        <v>92</v>
      </c>
      <c r="V297" s="1" t="str">
        <f t="shared" si="853"/>
        <v>93</v>
      </c>
      <c r="W297" s="1" t="str">
        <f t="shared" si="853"/>
        <v>94</v>
      </c>
      <c r="X297" s="1" t="str">
        <f t="shared" si="853"/>
        <v>95</v>
      </c>
      <c r="Y297" s="1" t="str">
        <f t="shared" si="853"/>
        <v>96</v>
      </c>
      <c r="Z297" s="1" t="str">
        <f t="shared" si="853"/>
        <v>97</v>
      </c>
      <c r="AA297" s="1" t="str">
        <f t="shared" si="853"/>
        <v>98</v>
      </c>
      <c r="AB297" s="1" t="str">
        <f t="shared" si="853"/>
        <v>99</v>
      </c>
      <c r="AC297" s="1" t="str">
        <f t="shared" si="853"/>
        <v>2000</v>
      </c>
      <c r="AD297" s="1" t="str">
        <f t="shared" si="853"/>
        <v>01</v>
      </c>
      <c r="AE297" s="1" t="str">
        <f t="shared" si="853"/>
        <v>02</v>
      </c>
      <c r="AF297" s="1" t="str">
        <f t="shared" si="853"/>
        <v>03</v>
      </c>
      <c r="AG297" s="1" t="str">
        <f t="shared" si="853"/>
        <v>04</v>
      </c>
      <c r="AH297" s="1" t="str">
        <f t="shared" si="853"/>
        <v>05</v>
      </c>
      <c r="AI297" s="1" t="str">
        <f t="shared" si="853"/>
        <v>06</v>
      </c>
      <c r="AJ297" s="1" t="str">
        <f t="shared" si="853"/>
        <v>07</v>
      </c>
      <c r="AK297" s="1" t="str">
        <f t="shared" si="853"/>
        <v>08</v>
      </c>
      <c r="AL297" s="1" t="str">
        <f t="shared" si="853"/>
        <v>09</v>
      </c>
      <c r="AM297" s="1" t="str">
        <f t="shared" si="853"/>
        <v>10</v>
      </c>
      <c r="AN297" s="1" t="str">
        <f t="shared" si="853"/>
        <v>11</v>
      </c>
      <c r="AO297" s="1" t="str">
        <f t="shared" si="853"/>
        <v>12</v>
      </c>
      <c r="AP297" s="1" t="str">
        <f t="shared" si="853"/>
        <v>13</v>
      </c>
      <c r="AQ297" s="1" t="str">
        <f t="shared" si="853"/>
        <v>14</v>
      </c>
      <c r="AR297" s="1" t="str">
        <f t="shared" ref="AR297:AS297" si="855">AR2</f>
        <v>15</v>
      </c>
      <c r="AS297" s="1" t="str">
        <f t="shared" si="855"/>
        <v>16</v>
      </c>
      <c r="AT297" s="1" t="str">
        <f t="shared" ref="AT297" si="856">AT2</f>
        <v>17</v>
      </c>
      <c r="AU297" s="1">
        <v>18</v>
      </c>
      <c r="AV297" s="1">
        <v>19</v>
      </c>
      <c r="AW297" s="1">
        <v>20</v>
      </c>
      <c r="AX297" s="1">
        <v>21</v>
      </c>
      <c r="AY297" s="1">
        <v>22</v>
      </c>
    </row>
    <row r="298" spans="1:51">
      <c r="A298" s="18" t="s">
        <v>7</v>
      </c>
      <c r="B298" s="3" t="s">
        <v>31</v>
      </c>
      <c r="C298" s="3" t="s">
        <v>8</v>
      </c>
      <c r="D298" s="4">
        <f t="shared" ref="D298:Q298" si="857">D288/D357</f>
        <v>11112.331658291458</v>
      </c>
      <c r="E298" s="4">
        <f t="shared" ref="E298" si="858">E288/E357</f>
        <v>12269.299019607843</v>
      </c>
      <c r="F298" s="4">
        <f t="shared" ref="F298" si="859">F288/F357</f>
        <v>14197.1592039801</v>
      </c>
      <c r="G298" s="4">
        <f t="shared" ref="G298" si="860">G288/G357</f>
        <v>17542.980198019803</v>
      </c>
      <c r="H298" s="4">
        <f t="shared" ref="H298" si="861">H288/H357</f>
        <v>18570.932038834952</v>
      </c>
      <c r="I298" s="4">
        <f t="shared" ref="I298" si="862">I288/I357</f>
        <v>20248.456310679612</v>
      </c>
      <c r="J298" s="4">
        <f t="shared" ref="J298" si="863">J288/J357</f>
        <v>20904.024154589373</v>
      </c>
      <c r="K298" s="4">
        <f t="shared" ref="K298" si="864">K288/K357</f>
        <v>20697.10576923077</v>
      </c>
      <c r="L298" s="4">
        <f t="shared" ref="L298" si="865">L288/L357</f>
        <v>21767.742857142857</v>
      </c>
      <c r="M298" s="4">
        <f t="shared" ref="M298" si="866">M288/M357</f>
        <v>23567.376811594204</v>
      </c>
      <c r="N298" s="4">
        <f t="shared" ref="N298" si="867">N288/N357</f>
        <v>24201.347619047618</v>
      </c>
      <c r="O298" s="4">
        <f t="shared" ref="O298" si="868">O288/O357</f>
        <v>25038.666666666668</v>
      </c>
      <c r="P298" s="4">
        <f t="shared" ref="P298" si="869">P288/P357</f>
        <v>24654.53023255814</v>
      </c>
      <c r="Q298" s="4">
        <f t="shared" si="857"/>
        <v>24136.799065420561</v>
      </c>
      <c r="R298" s="4">
        <f t="shared" ref="R298:Y298" si="870">R288/R357</f>
        <v>25810.105022831049</v>
      </c>
      <c r="S298" s="4">
        <f t="shared" si="870"/>
        <v>25090.215596330276</v>
      </c>
      <c r="T298" s="4">
        <f t="shared" si="870"/>
        <v>26458.530516431925</v>
      </c>
      <c r="U298" s="4">
        <f t="shared" si="870"/>
        <v>27997.375</v>
      </c>
      <c r="V298" s="4">
        <f t="shared" si="870"/>
        <v>27653.544642857141</v>
      </c>
      <c r="W298" s="4">
        <f t="shared" si="870"/>
        <v>25419.63111111111</v>
      </c>
      <c r="X298" s="4">
        <f t="shared" si="870"/>
        <v>24672.38157894737</v>
      </c>
      <c r="Y298" s="4">
        <f t="shared" si="870"/>
        <v>25196.436123348016</v>
      </c>
      <c r="Z298" s="4">
        <f t="shared" ref="Z298" si="871">Z288/Z357</f>
        <v>23110.021367521367</v>
      </c>
      <c r="AA298" s="4">
        <f t="shared" ref="AA298" si="872">AA288/AA357</f>
        <v>22404.889361702128</v>
      </c>
      <c r="AB298" s="4">
        <f t="shared" ref="AB298" si="873">AB288/AB357</f>
        <v>24882.243697478993</v>
      </c>
      <c r="AC298" s="4">
        <f t="shared" ref="AC298" si="874">AC288/AC357</f>
        <v>20292.670781893004</v>
      </c>
      <c r="AD298" s="4">
        <f t="shared" ref="AD298" si="875">AD288/AD357</f>
        <v>18429.27966101695</v>
      </c>
      <c r="AE298" s="4">
        <f t="shared" ref="AE298" si="876">AE288/AE357</f>
        <v>16266.68619246862</v>
      </c>
      <c r="AF298" s="4">
        <f t="shared" ref="AF298" si="877">AF288/AF357</f>
        <v>15233.530364372469</v>
      </c>
      <c r="AG298" s="4">
        <f t="shared" ref="AG298:AH298" si="878">AG288/AG357</f>
        <v>14606.895582329318</v>
      </c>
      <c r="AH298" s="4">
        <f t="shared" si="878"/>
        <v>14272.453441295547</v>
      </c>
      <c r="AI298" s="4">
        <f t="shared" ref="AI298:AJ298" si="879">AI288/AI357</f>
        <v>14285.975409836066</v>
      </c>
      <c r="AJ298" s="4">
        <f t="shared" si="879"/>
        <v>10845.63179916318</v>
      </c>
      <c r="AK298" s="4">
        <f t="shared" ref="AK298:AQ298" si="880">AK288/AK357</f>
        <v>9913.0699588477364</v>
      </c>
      <c r="AL298" s="4">
        <f t="shared" si="880"/>
        <v>8435.2887029288704</v>
      </c>
      <c r="AM298" s="4">
        <f t="shared" si="880"/>
        <v>8884.5822784810134</v>
      </c>
      <c r="AN298" s="4">
        <f t="shared" si="880"/>
        <v>8000.3526970954354</v>
      </c>
      <c r="AO298" s="4">
        <f t="shared" si="880"/>
        <v>7354.7786885245905</v>
      </c>
      <c r="AP298" s="4">
        <f t="shared" si="880"/>
        <v>6747.3813559322034</v>
      </c>
      <c r="AQ298" s="4">
        <f t="shared" si="880"/>
        <v>6486.4034334763946</v>
      </c>
      <c r="AR298" s="4">
        <f t="shared" ref="AR298" si="881">AR288/AR357</f>
        <v>6098.3555555555558</v>
      </c>
      <c r="AS298" s="4">
        <v>5795</v>
      </c>
      <c r="AT298" s="9">
        <f t="shared" ref="AT298:AY298" si="882">ROUND(AT288/AT$357,0)</f>
        <v>5420</v>
      </c>
      <c r="AU298" s="9">
        <f t="shared" si="882"/>
        <v>4559</v>
      </c>
      <c r="AV298" s="9">
        <f t="shared" si="882"/>
        <v>4552</v>
      </c>
      <c r="AW298" s="9">
        <f t="shared" si="882"/>
        <v>5383</v>
      </c>
      <c r="AX298" s="9">
        <f t="shared" si="882"/>
        <v>4121</v>
      </c>
      <c r="AY298" s="9">
        <f t="shared" si="882"/>
        <v>3795</v>
      </c>
    </row>
    <row r="299" spans="1:51">
      <c r="A299" s="18"/>
      <c r="B299" s="3" t="s">
        <v>21</v>
      </c>
      <c r="C299" s="3" t="s">
        <v>9</v>
      </c>
      <c r="D299" s="4">
        <f t="shared" ref="D299:Q299" si="883">D289/D357</f>
        <v>6282.6783919597992</v>
      </c>
      <c r="E299" s="4">
        <f t="shared" ref="E299" si="884">E289/E357</f>
        <v>6432.661764705882</v>
      </c>
      <c r="F299" s="4">
        <f t="shared" ref="F299" si="885">F289/F357</f>
        <v>6930.6417910447763</v>
      </c>
      <c r="G299" s="4">
        <f t="shared" ref="G299" si="886">G289/G357</f>
        <v>7227.0891089108909</v>
      </c>
      <c r="H299" s="4">
        <f t="shared" ref="H299" si="887">H289/H357</f>
        <v>8018.441747572816</v>
      </c>
      <c r="I299" s="4">
        <f t="shared" ref="I299" si="888">I289/I357</f>
        <v>9180.0728155339802</v>
      </c>
      <c r="J299" s="4">
        <f t="shared" ref="J299" si="889">J289/J357</f>
        <v>10346.661835748791</v>
      </c>
      <c r="K299" s="4">
        <f t="shared" ref="K299" si="890">K289/K357</f>
        <v>11607.620192307691</v>
      </c>
      <c r="L299" s="4">
        <f t="shared" ref="L299" si="891">L289/L357</f>
        <v>12205.514285714286</v>
      </c>
      <c r="M299" s="4">
        <f t="shared" ref="M299" si="892">M289/M357</f>
        <v>12662.333333333334</v>
      </c>
      <c r="N299" s="4">
        <f t="shared" ref="N299" si="893">N289/N357</f>
        <v>13062.528571428571</v>
      </c>
      <c r="O299" s="4">
        <f t="shared" ref="O299" si="894">O289/O357</f>
        <v>13463.08695652174</v>
      </c>
      <c r="P299" s="4">
        <f t="shared" ref="P299" si="895">P289/P357</f>
        <v>12775.679069767442</v>
      </c>
      <c r="Q299" s="4">
        <f t="shared" si="883"/>
        <v>13075.742990654206</v>
      </c>
      <c r="R299" s="4">
        <f t="shared" ref="R299:Y299" si="896">R289/R357</f>
        <v>13709.264840182648</v>
      </c>
      <c r="S299" s="4">
        <f t="shared" si="896"/>
        <v>14833.944954128441</v>
      </c>
      <c r="T299" s="4">
        <f t="shared" si="896"/>
        <v>16374.995305164319</v>
      </c>
      <c r="U299" s="4">
        <f t="shared" si="896"/>
        <v>17163.986111111109</v>
      </c>
      <c r="V299" s="4">
        <f t="shared" si="896"/>
        <v>16755.209821428572</v>
      </c>
      <c r="W299" s="4">
        <f t="shared" si="896"/>
        <v>15411.093333333334</v>
      </c>
      <c r="X299" s="4">
        <f t="shared" si="896"/>
        <v>15166.71052631579</v>
      </c>
      <c r="Y299" s="4">
        <f t="shared" si="896"/>
        <v>16089.660792951541</v>
      </c>
      <c r="Z299" s="4">
        <f t="shared" ref="Z299" si="897">Z289/Z357</f>
        <v>16299.935897435897</v>
      </c>
      <c r="AA299" s="4">
        <f t="shared" ref="AA299" si="898">AA289/AA357</f>
        <v>17561.063829787236</v>
      </c>
      <c r="AB299" s="4">
        <f t="shared" ref="AB299" si="899">AB289/AB357</f>
        <v>16827.331932773108</v>
      </c>
      <c r="AC299" s="4">
        <f t="shared" ref="AC299" si="900">AC289/AC357</f>
        <v>15699.9670781893</v>
      </c>
      <c r="AD299" s="4">
        <f t="shared" ref="AD299" si="901">AD289/AD357</f>
        <v>14836.868644067798</v>
      </c>
      <c r="AE299" s="4">
        <f t="shared" ref="AE299" si="902">AE289/AE357</f>
        <v>14615.464435146443</v>
      </c>
      <c r="AF299" s="4">
        <f t="shared" ref="AF299" si="903">AF289/AF357</f>
        <v>13959.781376518218</v>
      </c>
      <c r="AG299" s="4">
        <f t="shared" ref="AG299:AH299" si="904">AG289/AG357</f>
        <v>13342.759036144578</v>
      </c>
      <c r="AH299" s="4">
        <f t="shared" si="904"/>
        <v>12419.315789473685</v>
      </c>
      <c r="AI299" s="4">
        <f t="shared" ref="AI299:AJ299" si="905">AI289/AI357</f>
        <v>11020.848360655738</v>
      </c>
      <c r="AJ299" s="4">
        <f t="shared" si="905"/>
        <v>9027.2970711297075</v>
      </c>
      <c r="AK299" s="4">
        <f t="shared" ref="AK299:AQ299" si="906">AK289/AK357</f>
        <v>8233.1646090534978</v>
      </c>
      <c r="AL299" s="4">
        <f t="shared" si="906"/>
        <v>6666.5271966527198</v>
      </c>
      <c r="AM299" s="4">
        <f t="shared" si="906"/>
        <v>5916.1392405063289</v>
      </c>
      <c r="AN299" s="4">
        <f t="shared" si="906"/>
        <v>5288.3070539419086</v>
      </c>
      <c r="AO299" s="4">
        <f t="shared" si="906"/>
        <v>4910.372950819672</v>
      </c>
      <c r="AP299" s="4">
        <f t="shared" si="906"/>
        <v>4737.0254237288136</v>
      </c>
      <c r="AQ299" s="4">
        <f t="shared" si="906"/>
        <v>4750.3819742489268</v>
      </c>
      <c r="AR299" s="4">
        <f t="shared" ref="AR299" si="907">AR289/AR357</f>
        <v>4608.5955555555556</v>
      </c>
      <c r="AS299" s="4">
        <v>3923</v>
      </c>
      <c r="AT299" s="9">
        <f t="shared" ref="AT299" si="908">ROUND(AT289/AT$357,0)</f>
        <v>3665</v>
      </c>
      <c r="AU299" s="9">
        <f t="shared" ref="AU299" si="909">ROUND(AU289/AU$357,0)</f>
        <v>3232</v>
      </c>
      <c r="AV299" s="9">
        <f t="shared" ref="AV299:AW303" si="910">ROUND(AV289/AV$357,0)</f>
        <v>2990</v>
      </c>
      <c r="AW299" s="9">
        <f t="shared" si="910"/>
        <v>2940</v>
      </c>
      <c r="AX299" s="9">
        <f t="shared" ref="AX299:AY299" si="911">ROUND(AX289/AX$357,0)</f>
        <v>2673</v>
      </c>
      <c r="AY299" s="9">
        <f t="shared" si="911"/>
        <v>2556</v>
      </c>
    </row>
    <row r="300" spans="1:51">
      <c r="A300" s="18"/>
      <c r="C300" s="3" t="s">
        <v>11</v>
      </c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AG300" s="4">
        <f t="shared" ref="AG300:AH300" si="912">AG290/AG357</f>
        <v>1339.128514056225</v>
      </c>
      <c r="AH300" s="4">
        <f t="shared" si="912"/>
        <v>2176.3279352226718</v>
      </c>
      <c r="AI300" s="4">
        <f t="shared" ref="AI300:AJ300" si="913">AI290/AI357</f>
        <v>2811.032786885246</v>
      </c>
      <c r="AJ300" s="4">
        <f t="shared" si="913"/>
        <v>4123.3054393305438</v>
      </c>
      <c r="AK300" s="4">
        <f t="shared" ref="AK300:AQ300" si="914">AK290/AK357</f>
        <v>4886.1769547325102</v>
      </c>
      <c r="AL300" s="4">
        <f t="shared" si="914"/>
        <v>5377.5564853556489</v>
      </c>
      <c r="AM300" s="4">
        <f t="shared" si="914"/>
        <v>5548.4556962025317</v>
      </c>
      <c r="AN300" s="4">
        <f t="shared" si="914"/>
        <v>6247</v>
      </c>
      <c r="AO300" s="4">
        <f t="shared" si="914"/>
        <v>6754.8401639344265</v>
      </c>
      <c r="AP300" s="4">
        <f t="shared" si="914"/>
        <v>7733.2669491525421</v>
      </c>
      <c r="AQ300" s="4">
        <f t="shared" si="914"/>
        <v>9270.1030042918446</v>
      </c>
      <c r="AR300" s="4">
        <f t="shared" ref="AR300" si="915">AR290/AR357</f>
        <v>9578.3644444444453</v>
      </c>
      <c r="AS300" s="4">
        <v>9019</v>
      </c>
      <c r="AT300" s="9">
        <f t="shared" ref="AT300" si="916">ROUND(AT290/AT$357,0)</f>
        <v>8909</v>
      </c>
      <c r="AU300" s="9">
        <f t="shared" ref="AU300" si="917">ROUND(AU290/AU$357,0)</f>
        <v>9135</v>
      </c>
      <c r="AV300" s="9">
        <f t="shared" si="910"/>
        <v>9237</v>
      </c>
      <c r="AW300" s="9">
        <f t="shared" si="910"/>
        <v>9016</v>
      </c>
      <c r="AX300" s="9">
        <f t="shared" ref="AX300:AY300" si="918">ROUND(AX290/AX$357,0)</f>
        <v>8447</v>
      </c>
      <c r="AY300" s="9">
        <f t="shared" si="918"/>
        <v>9072</v>
      </c>
    </row>
    <row r="301" spans="1:51">
      <c r="A301" s="18"/>
      <c r="C301" s="3" t="s">
        <v>26</v>
      </c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AM301" s="4">
        <f t="shared" ref="AM301:AQ301" si="919">AM291/AM357</f>
        <v>124.21518987341773</v>
      </c>
      <c r="AN301" s="4">
        <f t="shared" si="919"/>
        <v>649.63485477178426</v>
      </c>
      <c r="AO301" s="4">
        <f t="shared" si="919"/>
        <v>594.62295081967216</v>
      </c>
      <c r="AP301" s="4">
        <f t="shared" si="919"/>
        <v>263.02542372881356</v>
      </c>
      <c r="AQ301" s="4">
        <f t="shared" si="919"/>
        <v>364.73390557939916</v>
      </c>
      <c r="AR301" s="4">
        <f t="shared" ref="AR301" si="920">AR291/AR357</f>
        <v>347.34222222222223</v>
      </c>
      <c r="AS301" s="4">
        <v>535</v>
      </c>
      <c r="AT301" s="9">
        <f t="shared" ref="AT301" si="921">ROUND(AT291/AT$357,0)</f>
        <v>415</v>
      </c>
      <c r="AU301" s="9">
        <f t="shared" ref="AU301" si="922">ROUND(AU291/AU$357,0)</f>
        <v>478</v>
      </c>
      <c r="AV301" s="9">
        <f t="shared" si="910"/>
        <v>552</v>
      </c>
      <c r="AW301" s="9">
        <f t="shared" si="910"/>
        <v>1037</v>
      </c>
      <c r="AX301" s="9">
        <f t="shared" ref="AX301:AY301" si="923">ROUND(AX291/AX$357,0)</f>
        <v>786</v>
      </c>
      <c r="AY301" s="9">
        <f t="shared" si="923"/>
        <v>707</v>
      </c>
    </row>
    <row r="302" spans="1:51">
      <c r="A302" s="18"/>
      <c r="C302" s="3" t="s">
        <v>24</v>
      </c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AM302" s="4">
        <f t="shared" ref="AM302:AQ302" si="924">AM292/AM357</f>
        <v>1850.3881856540083</v>
      </c>
      <c r="AN302" s="4">
        <f t="shared" si="924"/>
        <v>1720.6473029045644</v>
      </c>
      <c r="AO302" s="4">
        <f t="shared" si="924"/>
        <v>1819.200819672131</v>
      </c>
      <c r="AP302" s="4">
        <f t="shared" si="924"/>
        <v>2007.0296610169491</v>
      </c>
      <c r="AQ302" s="4">
        <f t="shared" si="924"/>
        <v>2205.56652360515</v>
      </c>
      <c r="AR302" s="4">
        <f t="shared" ref="AR302" si="925">AR292/AR357</f>
        <v>2344.2399999999998</v>
      </c>
      <c r="AS302" s="4">
        <v>2414</v>
      </c>
      <c r="AT302" s="9">
        <f t="shared" ref="AT302" si="926">ROUND(AT292/AT$357,0)</f>
        <v>2478</v>
      </c>
      <c r="AU302" s="9">
        <f t="shared" ref="AU302" si="927">ROUND(AU292/AU$357,0)</f>
        <v>2422</v>
      </c>
      <c r="AV302" s="9">
        <f t="shared" si="910"/>
        <v>2520</v>
      </c>
      <c r="AW302" s="9">
        <f t="shared" si="910"/>
        <v>2514</v>
      </c>
      <c r="AX302" s="9">
        <f t="shared" ref="AX302:AY302" si="928">ROUND(AX292/AX$357,0)</f>
        <v>2533</v>
      </c>
      <c r="AY302" s="9">
        <f t="shared" si="928"/>
        <v>2690</v>
      </c>
    </row>
    <row r="303" spans="1:51">
      <c r="A303" s="18"/>
      <c r="C303" s="3" t="s">
        <v>10</v>
      </c>
      <c r="D303" s="4">
        <f t="shared" ref="D303:Q303" si="929">D293/D357</f>
        <v>55.371859296482413</v>
      </c>
      <c r="E303" s="4">
        <f t="shared" ref="E303" si="930">E293/E357</f>
        <v>761.75490196078431</v>
      </c>
      <c r="F303" s="4">
        <f t="shared" ref="F303" si="931">F293/F357</f>
        <v>670.24378109452732</v>
      </c>
      <c r="G303" s="4">
        <f t="shared" ref="G303" si="932">G293/G357</f>
        <v>940.49009900990097</v>
      </c>
      <c r="H303" s="4">
        <f t="shared" ref="H303" si="933">H293/H357</f>
        <v>1171.7378640776699</v>
      </c>
      <c r="I303" s="4">
        <f t="shared" ref="I303" si="934">I293/I357</f>
        <v>1067.7912621359224</v>
      </c>
      <c r="J303" s="4">
        <f t="shared" ref="J303" si="935">J293/J357</f>
        <v>1464.7391304347825</v>
      </c>
      <c r="K303" s="4">
        <f t="shared" ref="K303" si="936">K293/K357</f>
        <v>1452.0625</v>
      </c>
      <c r="L303" s="4">
        <f t="shared" ref="L303" si="937">L293/L357</f>
        <v>1881.8761904761905</v>
      </c>
      <c r="M303" s="4">
        <f t="shared" ref="M303" si="938">M293/M357</f>
        <v>1958.3333333333333</v>
      </c>
      <c r="N303" s="4">
        <f t="shared" ref="N303" si="939">N293/N357</f>
        <v>1963.5285714285715</v>
      </c>
      <c r="O303" s="4">
        <f t="shared" ref="O303" si="940">O293/O357</f>
        <v>2207.5797101449275</v>
      </c>
      <c r="P303" s="4">
        <f t="shared" ref="P303" si="941">P293/P357</f>
        <v>2624.2883720930231</v>
      </c>
      <c r="Q303" s="4">
        <f t="shared" si="929"/>
        <v>2559.7570093457944</v>
      </c>
      <c r="R303" s="4">
        <f t="shared" ref="R303:Y303" si="942">R293/R357</f>
        <v>2298.9543378995436</v>
      </c>
      <c r="S303" s="4">
        <f t="shared" si="942"/>
        <v>2438.1788990825689</v>
      </c>
      <c r="T303" s="4">
        <f t="shared" si="942"/>
        <v>2911.7089201877934</v>
      </c>
      <c r="U303" s="4">
        <f t="shared" si="942"/>
        <v>3306.2175925925926</v>
      </c>
      <c r="V303" s="4">
        <f t="shared" si="942"/>
        <v>3036.4910714285716</v>
      </c>
      <c r="W303" s="4">
        <f t="shared" si="942"/>
        <v>3348.4533333333334</v>
      </c>
      <c r="X303" s="4">
        <f t="shared" si="942"/>
        <v>3332.6885964912281</v>
      </c>
      <c r="Y303" s="4">
        <f t="shared" si="942"/>
        <v>3581.0264317180618</v>
      </c>
      <c r="Z303" s="4">
        <f t="shared" ref="Z303" si="943">Z293/Z357</f>
        <v>3456.9957264957266</v>
      </c>
      <c r="AA303" s="4">
        <f t="shared" ref="AA303" si="944">AA293/AA357</f>
        <v>4232.9531914893614</v>
      </c>
      <c r="AB303" s="4">
        <f t="shared" ref="AB303" si="945">AB293/AB357</f>
        <v>3674.6512605042017</v>
      </c>
      <c r="AC303" s="4">
        <f t="shared" ref="AC303" si="946">AC293/AC357</f>
        <v>3752.3168724279835</v>
      </c>
      <c r="AD303" s="4">
        <f t="shared" ref="AD303" si="947">AD293/AD357</f>
        <v>3154.0169491525426</v>
      </c>
      <c r="AE303" s="4">
        <f t="shared" ref="AE303" si="948">AE293/AE357</f>
        <v>2834.4267782426778</v>
      </c>
      <c r="AF303" s="4">
        <f t="shared" ref="AF303" si="949">AF293/AF357</f>
        <v>3096.1659919028339</v>
      </c>
      <c r="AG303" s="4">
        <f t="shared" ref="AG303:AH303" si="950">AG293/AG357</f>
        <v>2292.1646586345382</v>
      </c>
      <c r="AH303" s="4">
        <f t="shared" si="950"/>
        <v>2326.6558704453441</v>
      </c>
      <c r="AI303" s="4">
        <f t="shared" ref="AI303:AJ303" si="951">AI293/AI357</f>
        <v>2603.5</v>
      </c>
      <c r="AJ303" s="4">
        <f t="shared" si="951"/>
        <v>2444.7447698744768</v>
      </c>
      <c r="AK303" s="4">
        <f t="shared" ref="AK303:AQ303" si="952">AK293/AK357</f>
        <v>2611.4567901234568</v>
      </c>
      <c r="AL303" s="4">
        <f t="shared" si="952"/>
        <v>2430.8117154811716</v>
      </c>
      <c r="AM303" s="4">
        <f t="shared" si="952"/>
        <v>1206.210970464135</v>
      </c>
      <c r="AN303" s="4">
        <f t="shared" si="952"/>
        <v>1105.402489626556</v>
      </c>
      <c r="AO303" s="4">
        <f t="shared" si="952"/>
        <v>1034.3360655737704</v>
      </c>
      <c r="AP303" s="4">
        <f t="shared" si="952"/>
        <v>1089.0296610169491</v>
      </c>
      <c r="AQ303" s="4">
        <f t="shared" si="952"/>
        <v>919.74248927038627</v>
      </c>
      <c r="AR303" s="4">
        <f t="shared" ref="AR303" si="953">AR293/AR357</f>
        <v>996.75111111111107</v>
      </c>
      <c r="AS303" s="4">
        <v>945</v>
      </c>
      <c r="AT303" s="9">
        <f t="shared" ref="AT303" si="954">ROUND(AT293/AT$357,0)</f>
        <v>818</v>
      </c>
      <c r="AU303" s="9">
        <f t="shared" ref="AU303" si="955">ROUND(AU293/AU$357,0)</f>
        <v>782</v>
      </c>
      <c r="AV303" s="9">
        <f t="shared" si="910"/>
        <v>1513</v>
      </c>
      <c r="AW303" s="9">
        <f t="shared" si="910"/>
        <v>662</v>
      </c>
      <c r="AX303" s="9">
        <f t="shared" ref="AX303:AY303" si="956">ROUND(AX293/AX$357,0)</f>
        <v>706</v>
      </c>
      <c r="AY303" s="9">
        <f t="shared" si="956"/>
        <v>620</v>
      </c>
    </row>
    <row r="304" spans="1:51">
      <c r="A304" s="18"/>
      <c r="C304" s="3" t="s">
        <v>17</v>
      </c>
      <c r="D304" s="4">
        <f t="shared" ref="D304:Q304" si="957">D294/D357</f>
        <v>17948.748743718592</v>
      </c>
      <c r="E304" s="4">
        <f t="shared" ref="E304" si="958">E294/E357</f>
        <v>19463.715686274511</v>
      </c>
      <c r="F304" s="4">
        <f t="shared" ref="F304" si="959">F294/F357</f>
        <v>21798.044776119405</v>
      </c>
      <c r="G304" s="4">
        <f t="shared" ref="G304" si="960">G294/G357</f>
        <v>25710.559405940596</v>
      </c>
      <c r="H304" s="4">
        <f t="shared" ref="H304" si="961">H294/H357</f>
        <v>27761.111650485436</v>
      </c>
      <c r="I304" s="4">
        <f t="shared" ref="I304" si="962">I294/I357</f>
        <v>30496.320388349515</v>
      </c>
      <c r="J304" s="4">
        <f t="shared" ref="J304" si="963">J294/J357</f>
        <v>32715.425120772947</v>
      </c>
      <c r="K304" s="4">
        <f t="shared" ref="K304" si="964">K294/K357</f>
        <v>33756.788461538461</v>
      </c>
      <c r="L304" s="4">
        <f t="shared" ref="L304" si="965">L294/L357</f>
        <v>35855.133333333331</v>
      </c>
      <c r="M304" s="4">
        <f t="shared" ref="M304" si="966">M294/M357</f>
        <v>38188.043478260872</v>
      </c>
      <c r="N304" s="4">
        <f t="shared" ref="N304" si="967">N294/N357</f>
        <v>39227.404761904763</v>
      </c>
      <c r="O304" s="4">
        <f t="shared" ref="O304" si="968">O294/O357</f>
        <v>40709.333333333336</v>
      </c>
      <c r="P304" s="4">
        <f t="shared" ref="P304" si="969">P294/P357</f>
        <v>40054.497674418606</v>
      </c>
      <c r="Q304" s="4">
        <f t="shared" si="957"/>
        <v>39772.299065420564</v>
      </c>
      <c r="R304" s="4">
        <f t="shared" ref="R304:Y304" si="970">R294/R357</f>
        <v>41818.324200913245</v>
      </c>
      <c r="S304" s="4">
        <f t="shared" si="970"/>
        <v>42362.339449541287</v>
      </c>
      <c r="T304" s="4">
        <f t="shared" si="970"/>
        <v>45745.234741784036</v>
      </c>
      <c r="U304" s="4">
        <f t="shared" si="970"/>
        <v>48467.578703703701</v>
      </c>
      <c r="V304" s="4">
        <f t="shared" si="970"/>
        <v>47445.245535714283</v>
      </c>
      <c r="W304" s="4">
        <f t="shared" si="970"/>
        <v>44179.177777777775</v>
      </c>
      <c r="X304" s="4">
        <f t="shared" si="970"/>
        <v>43171.780701754389</v>
      </c>
      <c r="Y304" s="4">
        <f t="shared" si="970"/>
        <v>44867.123348017623</v>
      </c>
      <c r="Z304" s="4">
        <f t="shared" ref="Z304" si="971">Z294/Z357</f>
        <v>42866.952991452992</v>
      </c>
      <c r="AA304" s="4">
        <f t="shared" ref="AA304" si="972">AA294/AA357</f>
        <v>44198.906382978726</v>
      </c>
      <c r="AB304" s="4">
        <f t="shared" ref="AB304" si="973">AB294/AB357</f>
        <v>45384.226890756305</v>
      </c>
      <c r="AC304" s="4">
        <f t="shared" ref="AC304" si="974">AC294/AC357</f>
        <v>39744.95473251029</v>
      </c>
      <c r="AD304" s="4">
        <f t="shared" ref="AD304" si="975">AD294/AD357</f>
        <v>36420.16525423729</v>
      </c>
      <c r="AE304" s="4">
        <f t="shared" ref="AE304" si="976">AE294/AE357</f>
        <v>33716.577405857737</v>
      </c>
      <c r="AF304" s="4">
        <f t="shared" ref="AF304" si="977">AF294/AF357</f>
        <v>32289.477732793523</v>
      </c>
      <c r="AG304" s="4">
        <f t="shared" ref="AG304:AH304" si="978">AG294/AG357</f>
        <v>31580.947791164657</v>
      </c>
      <c r="AH304" s="4">
        <f t="shared" si="978"/>
        <v>31194.753036437247</v>
      </c>
      <c r="AI304" s="4">
        <f t="shared" ref="AI304:AJ304" si="979">AI294/AI357</f>
        <v>30721.35655737705</v>
      </c>
      <c r="AJ304" s="4">
        <f t="shared" si="979"/>
        <v>26440.979079497909</v>
      </c>
      <c r="AK304" s="4">
        <f t="shared" ref="AK304:AQ304" si="980">AK294/AK357</f>
        <v>25643.8683127572</v>
      </c>
      <c r="AL304" s="4">
        <f t="shared" si="980"/>
        <v>22910.18410041841</v>
      </c>
      <c r="AM304" s="4">
        <f t="shared" si="980"/>
        <v>23529.991561181436</v>
      </c>
      <c r="AN304" s="4">
        <f t="shared" si="980"/>
        <v>23011.34439834025</v>
      </c>
      <c r="AO304" s="4">
        <f t="shared" si="980"/>
        <v>22468.151639344262</v>
      </c>
      <c r="AP304" s="4">
        <f t="shared" si="980"/>
        <v>22576.758474576272</v>
      </c>
      <c r="AQ304" s="4">
        <f t="shared" si="980"/>
        <v>23996.931330472104</v>
      </c>
      <c r="AR304" s="4">
        <f t="shared" ref="AR304" si="981">AR294/AR357</f>
        <v>23973.648888888889</v>
      </c>
      <c r="AS304" s="4">
        <v>22630</v>
      </c>
      <c r="AT304" s="9">
        <f t="shared" ref="AT304:AY304" si="982">SUM(AT298:AT303)</f>
        <v>21705</v>
      </c>
      <c r="AU304" s="9">
        <f t="shared" si="982"/>
        <v>20608</v>
      </c>
      <c r="AV304" s="9">
        <f t="shared" si="982"/>
        <v>21364</v>
      </c>
      <c r="AW304" s="9">
        <f t="shared" si="982"/>
        <v>21552</v>
      </c>
      <c r="AX304" s="9">
        <f t="shared" si="982"/>
        <v>19266</v>
      </c>
      <c r="AY304" s="9">
        <f t="shared" si="982"/>
        <v>19440</v>
      </c>
    </row>
    <row r="305" spans="1:51">
      <c r="A305" s="18"/>
      <c r="C305" s="10" t="s">
        <v>12</v>
      </c>
      <c r="D305" s="8">
        <f>D304/D340*100</f>
        <v>1.8070154758351336</v>
      </c>
      <c r="E305" s="8">
        <f>E304/E340*100</f>
        <v>1.534868744032502</v>
      </c>
      <c r="F305" s="8">
        <f t="shared" ref="F305:AQ305" si="983">F304/F340*100</f>
        <v>1.5681485325697926</v>
      </c>
      <c r="G305" s="8">
        <f t="shared" si="983"/>
        <v>1.540851668565461</v>
      </c>
      <c r="H305" s="8">
        <f t="shared" si="983"/>
        <v>1.7274186435015155</v>
      </c>
      <c r="I305" s="8">
        <f t="shared" si="983"/>
        <v>1.6584477186774897</v>
      </c>
      <c r="J305" s="8">
        <f t="shared" si="983"/>
        <v>1.756106234244774</v>
      </c>
      <c r="K305" s="8">
        <f t="shared" si="983"/>
        <v>1.6165942343250053</v>
      </c>
      <c r="L305" s="8">
        <f t="shared" si="983"/>
        <v>1.6745833826710743</v>
      </c>
      <c r="M305" s="8">
        <f t="shared" si="983"/>
        <v>1.4753535346416746</v>
      </c>
      <c r="N305" s="8">
        <f t="shared" si="983"/>
        <v>1.5511801484010241</v>
      </c>
      <c r="O305" s="8">
        <f t="shared" si="983"/>
        <v>1.4578347710482458</v>
      </c>
      <c r="P305" s="8">
        <f t="shared" si="983"/>
        <v>1.4098471640580901</v>
      </c>
      <c r="Q305" s="8">
        <f t="shared" si="983"/>
        <v>1.3361012607119864</v>
      </c>
      <c r="R305" s="8">
        <f t="shared" si="983"/>
        <v>1.2957863681183943</v>
      </c>
      <c r="S305" s="8">
        <f t="shared" si="983"/>
        <v>1.4560826839158114</v>
      </c>
      <c r="T305" s="8">
        <f t="shared" si="983"/>
        <v>1.4077348221023245</v>
      </c>
      <c r="U305" s="8">
        <f t="shared" si="983"/>
        <v>1.4173910813438471</v>
      </c>
      <c r="V305" s="8">
        <f t="shared" si="983"/>
        <v>1.4736288961772079</v>
      </c>
      <c r="W305" s="8">
        <f t="shared" si="983"/>
        <v>1.3227745416494257</v>
      </c>
      <c r="X305" s="8">
        <f t="shared" si="983"/>
        <v>1.3878536482405268</v>
      </c>
      <c r="Y305" s="8">
        <f t="shared" si="983"/>
        <v>1.3873671007389381</v>
      </c>
      <c r="Z305" s="8">
        <f t="shared" si="983"/>
        <v>1.4333849217278645</v>
      </c>
      <c r="AA305" s="8">
        <f t="shared" si="983"/>
        <v>1.417148011822988</v>
      </c>
      <c r="AB305" s="8">
        <f t="shared" si="983"/>
        <v>1.4339086665904939</v>
      </c>
      <c r="AC305" s="8">
        <f t="shared" si="983"/>
        <v>1.3028324969026948</v>
      </c>
      <c r="AD305" s="8">
        <f t="shared" si="983"/>
        <v>1.0977301059958544</v>
      </c>
      <c r="AE305" s="8">
        <f t="shared" si="983"/>
        <v>1.2769837479768753</v>
      </c>
      <c r="AF305" s="8">
        <f t="shared" si="983"/>
        <v>1.2512150692267066</v>
      </c>
      <c r="AG305" s="8">
        <f t="shared" si="983"/>
        <v>1.1152057004502862</v>
      </c>
      <c r="AH305" s="8">
        <f t="shared" si="983"/>
        <v>1.0915695581433102</v>
      </c>
      <c r="AI305" s="8">
        <f t="shared" si="983"/>
        <v>1.1459361608309624</v>
      </c>
      <c r="AJ305" s="8">
        <f t="shared" si="983"/>
        <v>1.0871669804548081</v>
      </c>
      <c r="AK305" s="8">
        <f t="shared" si="983"/>
        <v>1.0563120276561706</v>
      </c>
      <c r="AL305" s="8">
        <f t="shared" si="983"/>
        <v>0.93175917952323128</v>
      </c>
      <c r="AM305" s="8">
        <f t="shared" si="983"/>
        <v>0.94107991260939883</v>
      </c>
      <c r="AN305" s="8">
        <f t="shared" si="983"/>
        <v>0.95911401258226681</v>
      </c>
      <c r="AO305" s="8">
        <f t="shared" si="983"/>
        <v>0.88888772940888205</v>
      </c>
      <c r="AP305" s="8">
        <f t="shared" si="983"/>
        <v>0.92891305116408041</v>
      </c>
      <c r="AQ305" s="8">
        <f t="shared" si="983"/>
        <v>1.0313024949973313</v>
      </c>
      <c r="AR305" s="8">
        <f t="shared" ref="AR305:AT305" si="984">AR304/AR340*100</f>
        <v>0.93068009259989759</v>
      </c>
      <c r="AS305" s="8">
        <f t="shared" si="984"/>
        <v>0.93888227764388787</v>
      </c>
      <c r="AT305" s="40">
        <f t="shared" si="984"/>
        <v>1.1508196323564257</v>
      </c>
      <c r="AU305" s="40">
        <f t="shared" ref="AU305" si="985">AU304/AU340*100</f>
        <v>1.1391857737585842</v>
      </c>
      <c r="AV305" s="40">
        <f>AV304/AV340*100</f>
        <v>1.1959284834522623</v>
      </c>
      <c r="AW305" s="40">
        <f>AW304/AW340*100</f>
        <v>1.2018700203450503</v>
      </c>
      <c r="AX305" s="40">
        <f>AX304/AX340*100</f>
        <v>1.1121162799494291</v>
      </c>
      <c r="AY305" s="40">
        <f>AY304/AY340*100</f>
        <v>1.0751124913869912</v>
      </c>
    </row>
    <row r="306" spans="1:51">
      <c r="A306" s="18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AP306" s="4"/>
      <c r="AQ306" s="4"/>
      <c r="AR306" s="4"/>
      <c r="AS306" s="4"/>
      <c r="AT306" s="9"/>
      <c r="AU306" s="9"/>
      <c r="AV306" s="9"/>
      <c r="AW306" s="9"/>
      <c r="AX306" s="9"/>
      <c r="AY306" s="9"/>
    </row>
    <row r="307" spans="1:51" s="22" customFormat="1">
      <c r="A307" s="26" t="s">
        <v>13</v>
      </c>
      <c r="B307" s="22" t="s">
        <v>1</v>
      </c>
      <c r="C307" s="22" t="s">
        <v>18</v>
      </c>
      <c r="D307" s="28">
        <v>1135182000</v>
      </c>
      <c r="E307" s="28">
        <v>1403620000</v>
      </c>
      <c r="F307" s="28">
        <v>1529989000</v>
      </c>
      <c r="G307" s="28">
        <v>1838404000</v>
      </c>
      <c r="H307" s="28">
        <v>1995745808</v>
      </c>
      <c r="I307" s="28">
        <v>2157446923</v>
      </c>
      <c r="J307" s="28">
        <v>2365714101</v>
      </c>
      <c r="K307" s="28">
        <v>2537226115</v>
      </c>
      <c r="L307" s="28">
        <v>2602122863</v>
      </c>
      <c r="M307" s="28">
        <v>2926697799</v>
      </c>
      <c r="N307" s="28">
        <v>3073336552</v>
      </c>
      <c r="O307" s="28">
        <v>3185535008</v>
      </c>
      <c r="P307" s="28">
        <v>3455076381</v>
      </c>
      <c r="Q307" s="29">
        <v>3516059156</v>
      </c>
      <c r="R307" s="29">
        <v>3789877862</v>
      </c>
      <c r="S307" s="29">
        <v>3823748754</v>
      </c>
      <c r="T307" s="29">
        <v>4068745650</v>
      </c>
      <c r="U307" s="29">
        <v>4295951181</v>
      </c>
      <c r="V307" s="29">
        <v>4655231674</v>
      </c>
      <c r="W307" s="29">
        <v>4707842923</v>
      </c>
      <c r="X307" s="29">
        <v>4773515810</v>
      </c>
      <c r="Y307" s="29">
        <v>4830560864</v>
      </c>
      <c r="Z307" s="29">
        <v>4962427184</v>
      </c>
      <c r="AA307" s="29">
        <v>5331749629</v>
      </c>
      <c r="AB307" s="29">
        <v>5252819871</v>
      </c>
      <c r="AC307" s="29">
        <v>5226765006</v>
      </c>
      <c r="AD307" s="29">
        <v>5409643679</v>
      </c>
      <c r="AE307" s="29">
        <v>5382618971</v>
      </c>
      <c r="AF307" s="29">
        <v>5470529386</v>
      </c>
      <c r="AG307" s="29">
        <v>5802828718</v>
      </c>
      <c r="AH307" s="29">
        <v>6241983630</v>
      </c>
      <c r="AI307" s="29">
        <v>6271765510</v>
      </c>
      <c r="AJ307" s="29">
        <v>6463749226</v>
      </c>
      <c r="AK307" s="29">
        <v>6516076951</v>
      </c>
      <c r="AL307" s="29">
        <v>6706193497</v>
      </c>
      <c r="AM307" s="29">
        <v>6530404464</v>
      </c>
      <c r="AN307" s="29">
        <v>6727319639</v>
      </c>
      <c r="AO307" s="29">
        <v>6726976123</v>
      </c>
      <c r="AP307" s="29">
        <v>6928237840</v>
      </c>
      <c r="AQ307" s="29">
        <v>7100133423</v>
      </c>
      <c r="AR307" s="29">
        <v>7233435838</v>
      </c>
      <c r="AS307" s="29">
        <v>7118356730</v>
      </c>
      <c r="AT307" s="28">
        <f t="shared" ref="AT307:AY307" si="986">AT308+AT313+AT318</f>
        <v>7088240895</v>
      </c>
      <c r="AU307" s="28">
        <f t="shared" si="986"/>
        <v>7132648973</v>
      </c>
      <c r="AV307" s="28">
        <f t="shared" si="986"/>
        <v>7252718159</v>
      </c>
      <c r="AW307" s="28">
        <f t="shared" si="986"/>
        <v>7357684593</v>
      </c>
      <c r="AX307" s="28">
        <f t="shared" si="986"/>
        <v>7408671477</v>
      </c>
      <c r="AY307" s="28">
        <f t="shared" si="986"/>
        <v>10519767069</v>
      </c>
    </row>
    <row r="308" spans="1:51">
      <c r="A308" s="20"/>
      <c r="B308" s="3" t="s">
        <v>21</v>
      </c>
      <c r="C308" s="3" t="s">
        <v>57</v>
      </c>
      <c r="D308" s="30">
        <v>503662000</v>
      </c>
      <c r="E308" s="30">
        <v>570039000</v>
      </c>
      <c r="F308" s="30">
        <v>638864000</v>
      </c>
      <c r="G308" s="30">
        <v>762615000</v>
      </c>
      <c r="H308" s="30">
        <v>903964483</v>
      </c>
      <c r="I308" s="30">
        <v>978374586</v>
      </c>
      <c r="J308" s="30">
        <v>1036217265</v>
      </c>
      <c r="K308" s="30">
        <v>1077652562</v>
      </c>
      <c r="L308" s="30">
        <f>545399080+213964576+188234839+162654124</f>
        <v>1110252619</v>
      </c>
      <c r="M308" s="30">
        <v>1216566274</v>
      </c>
      <c r="N308" s="30">
        <v>1261075388</v>
      </c>
      <c r="O308" s="30">
        <v>1295345941</v>
      </c>
      <c r="P308" s="30">
        <v>1451755715</v>
      </c>
      <c r="Q308" s="31">
        <v>1416758205</v>
      </c>
      <c r="R308" s="31">
        <v>1468618640</v>
      </c>
      <c r="S308" s="31">
        <v>1512779619</v>
      </c>
      <c r="T308" s="31">
        <v>1601038148</v>
      </c>
      <c r="U308" s="31">
        <v>1696467056</v>
      </c>
      <c r="V308" s="31">
        <v>1900868232</v>
      </c>
      <c r="W308" s="31">
        <v>1792000879</v>
      </c>
      <c r="X308" s="31">
        <v>1912555264</v>
      </c>
      <c r="Y308" s="31">
        <v>1912081126</v>
      </c>
      <c r="Z308" s="31">
        <v>1921249019</v>
      </c>
      <c r="AA308" s="31">
        <v>2063918267</v>
      </c>
      <c r="AB308" s="31">
        <v>2047122158</v>
      </c>
      <c r="AC308" s="31">
        <v>2037116409</v>
      </c>
      <c r="AD308" s="31">
        <v>2004262727</v>
      </c>
      <c r="AE308" s="31">
        <v>2048242539</v>
      </c>
      <c r="AF308" s="31">
        <v>2068961382</v>
      </c>
      <c r="AG308" s="31">
        <v>2145050027</v>
      </c>
      <c r="AH308" s="31">
        <v>2497342563</v>
      </c>
      <c r="AI308" s="31">
        <v>2252595686</v>
      </c>
      <c r="AJ308" s="31">
        <v>2304892993</v>
      </c>
      <c r="AK308" s="31">
        <v>2392648330</v>
      </c>
      <c r="AL308" s="31">
        <v>2565467943</v>
      </c>
      <c r="AM308" s="31">
        <v>2415534055</v>
      </c>
      <c r="AN308" s="31">
        <v>2534961248</v>
      </c>
      <c r="AO308" s="31">
        <v>2454852206</v>
      </c>
      <c r="AP308" s="31">
        <v>2608338122</v>
      </c>
      <c r="AQ308" s="31">
        <v>2740151664</v>
      </c>
      <c r="AR308" s="31">
        <v>2677957721</v>
      </c>
      <c r="AS308" s="31">
        <v>2654844115</v>
      </c>
      <c r="AT308" s="30">
        <f t="shared" ref="AT308:AY308" si="987">SUM(AT309:AT312)</f>
        <v>2691356691</v>
      </c>
      <c r="AU308" s="30">
        <f t="shared" si="987"/>
        <v>2716360958</v>
      </c>
      <c r="AV308" s="30">
        <f t="shared" si="987"/>
        <v>2769189163</v>
      </c>
      <c r="AW308" s="30">
        <f t="shared" si="987"/>
        <v>2776884734</v>
      </c>
      <c r="AX308" s="30">
        <f t="shared" si="987"/>
        <v>2919778181</v>
      </c>
      <c r="AY308" s="30">
        <f t="shared" si="987"/>
        <v>2960375077</v>
      </c>
    </row>
    <row r="309" spans="1:51">
      <c r="A309" s="20"/>
      <c r="C309" s="3" t="s">
        <v>58</v>
      </c>
      <c r="D309" s="30">
        <v>225202000</v>
      </c>
      <c r="E309" s="30">
        <v>248884000</v>
      </c>
      <c r="F309" s="30">
        <v>292718000</v>
      </c>
      <c r="G309" s="30">
        <v>334259000</v>
      </c>
      <c r="H309" s="30">
        <v>459026249</v>
      </c>
      <c r="I309" s="30">
        <v>493561859</v>
      </c>
      <c r="J309" s="30">
        <v>501159889</v>
      </c>
      <c r="K309" s="30">
        <v>532737829</v>
      </c>
      <c r="L309" s="30">
        <v>545399080</v>
      </c>
      <c r="M309" s="30">
        <v>591622495</v>
      </c>
      <c r="N309" s="30">
        <v>618735720</v>
      </c>
      <c r="O309" s="30">
        <v>647697372</v>
      </c>
      <c r="P309" s="30">
        <v>723173385</v>
      </c>
      <c r="Q309" s="31">
        <v>703031971</v>
      </c>
      <c r="R309" s="31">
        <v>717866691</v>
      </c>
      <c r="S309" s="31">
        <v>743136083</v>
      </c>
      <c r="T309" s="31">
        <v>771329057</v>
      </c>
      <c r="U309" s="31">
        <v>829567433</v>
      </c>
      <c r="V309" s="31">
        <v>869752062</v>
      </c>
      <c r="W309" s="31">
        <v>846751608</v>
      </c>
      <c r="X309" s="31">
        <v>916795825</v>
      </c>
      <c r="Y309" s="31">
        <v>923862527</v>
      </c>
      <c r="Z309" s="31">
        <v>954377668</v>
      </c>
      <c r="AA309" s="31">
        <v>1024483627</v>
      </c>
      <c r="AB309" s="31">
        <v>1002760550</v>
      </c>
      <c r="AC309" s="31">
        <v>1018535297</v>
      </c>
      <c r="AD309" s="32">
        <v>1017666397</v>
      </c>
      <c r="AE309" s="33">
        <v>1040968054</v>
      </c>
      <c r="AF309" s="33">
        <v>1064760829</v>
      </c>
      <c r="AG309" s="32">
        <v>1052682519</v>
      </c>
      <c r="AH309" s="34">
        <v>1308832385</v>
      </c>
      <c r="AI309" s="34">
        <v>1218259129</v>
      </c>
      <c r="AJ309" s="35">
        <v>1236287496</v>
      </c>
      <c r="AK309" s="35">
        <v>1288883857</v>
      </c>
      <c r="AL309" s="35">
        <v>1372108217</v>
      </c>
      <c r="AM309" s="35">
        <v>1321204347</v>
      </c>
      <c r="AN309" s="36">
        <v>1438598057</v>
      </c>
      <c r="AO309" s="35">
        <v>1356084438</v>
      </c>
      <c r="AP309" s="35">
        <v>1487194214</v>
      </c>
      <c r="AQ309" s="35">
        <v>1567336293</v>
      </c>
      <c r="AR309" s="35">
        <v>1505263356</v>
      </c>
      <c r="AS309" s="35">
        <v>1484916890</v>
      </c>
      <c r="AT309" s="35">
        <v>1548935995</v>
      </c>
      <c r="AU309" s="35">
        <v>1549555581</v>
      </c>
      <c r="AV309" s="35">
        <v>1572308400</v>
      </c>
      <c r="AW309" s="35">
        <v>1573174402</v>
      </c>
      <c r="AX309" s="35">
        <v>1672767135</v>
      </c>
      <c r="AY309" s="35">
        <v>1697977364</v>
      </c>
    </row>
    <row r="310" spans="1:51">
      <c r="A310" s="20"/>
      <c r="C310" s="3" t="s">
        <v>59</v>
      </c>
      <c r="D310" s="30">
        <v>125807000</v>
      </c>
      <c r="E310" s="30">
        <v>156339000</v>
      </c>
      <c r="F310" s="30">
        <v>162436000</v>
      </c>
      <c r="G310" s="30">
        <v>198328000</v>
      </c>
      <c r="H310" s="30">
        <v>169134675</v>
      </c>
      <c r="I310" s="30">
        <v>194955970</v>
      </c>
      <c r="J310" s="30">
        <v>207537481</v>
      </c>
      <c r="K310" s="30">
        <v>208146038</v>
      </c>
      <c r="L310" s="30">
        <v>213964576</v>
      </c>
      <c r="M310" s="30">
        <v>235551817</v>
      </c>
      <c r="N310" s="30">
        <v>235006312</v>
      </c>
      <c r="O310" s="30">
        <v>240808423</v>
      </c>
      <c r="P310" s="30">
        <v>274754274</v>
      </c>
      <c r="Q310" s="31">
        <v>268541499</v>
      </c>
      <c r="R310" s="31">
        <v>284496539</v>
      </c>
      <c r="S310" s="31">
        <v>276205470</v>
      </c>
      <c r="T310" s="31">
        <v>306005119</v>
      </c>
      <c r="U310" s="31">
        <v>321745134</v>
      </c>
      <c r="V310" s="31">
        <v>357159485</v>
      </c>
      <c r="W310" s="31">
        <v>342894188</v>
      </c>
      <c r="X310" s="31">
        <v>351002632</v>
      </c>
      <c r="Y310" s="31">
        <v>362573831</v>
      </c>
      <c r="Z310" s="31">
        <v>338409345</v>
      </c>
      <c r="AA310" s="31">
        <v>385590284</v>
      </c>
      <c r="AB310" s="31">
        <v>388637390</v>
      </c>
      <c r="AC310" s="31">
        <v>378139905</v>
      </c>
      <c r="AD310" s="32">
        <v>381107783</v>
      </c>
      <c r="AE310" s="33">
        <v>390015592</v>
      </c>
      <c r="AF310" s="33">
        <v>472304806</v>
      </c>
      <c r="AG310" s="32">
        <v>511003885</v>
      </c>
      <c r="AH310" s="34">
        <v>535097019</v>
      </c>
      <c r="AI310" s="34">
        <v>434012672</v>
      </c>
      <c r="AJ310" s="35">
        <v>448212162</v>
      </c>
      <c r="AK310" s="35">
        <v>464875083</v>
      </c>
      <c r="AL310" s="35">
        <v>502995696</v>
      </c>
      <c r="AM310" s="35">
        <v>463979415</v>
      </c>
      <c r="AN310" s="36">
        <v>450976753</v>
      </c>
      <c r="AO310" s="35">
        <v>448714902</v>
      </c>
      <c r="AP310" s="35">
        <v>428493159</v>
      </c>
      <c r="AQ310" s="35">
        <v>482188241</v>
      </c>
      <c r="AR310" s="35">
        <v>596749577</v>
      </c>
      <c r="AS310" s="35">
        <v>621256140</v>
      </c>
      <c r="AT310" s="35">
        <v>590502389</v>
      </c>
      <c r="AU310" s="35">
        <v>602023223</v>
      </c>
      <c r="AV310" s="35">
        <v>618645135</v>
      </c>
      <c r="AW310" s="35">
        <v>625681379</v>
      </c>
      <c r="AX310" s="35">
        <v>647804005</v>
      </c>
      <c r="AY310" s="35">
        <v>662877982</v>
      </c>
    </row>
    <row r="311" spans="1:51">
      <c r="A311" s="20"/>
      <c r="C311" s="3" t="s">
        <v>60</v>
      </c>
      <c r="D311" s="30">
        <v>107275000</v>
      </c>
      <c r="E311" s="30">
        <v>110526000</v>
      </c>
      <c r="F311" s="30">
        <v>114517000</v>
      </c>
      <c r="G311" s="30">
        <v>138146000</v>
      </c>
      <c r="H311" s="30">
        <v>159743042</v>
      </c>
      <c r="I311" s="30">
        <v>172521919</v>
      </c>
      <c r="J311" s="30">
        <v>186104504</v>
      </c>
      <c r="K311" s="30">
        <v>189246565</v>
      </c>
      <c r="L311" s="30">
        <v>188234839</v>
      </c>
      <c r="M311" s="30">
        <v>209319333</v>
      </c>
      <c r="N311" s="30">
        <v>214847600</v>
      </c>
      <c r="O311" s="30">
        <v>223716042</v>
      </c>
      <c r="P311" s="30">
        <v>243340210</v>
      </c>
      <c r="Q311" s="31">
        <v>244327915</v>
      </c>
      <c r="R311" s="31">
        <v>240886459</v>
      </c>
      <c r="S311" s="31">
        <v>264202874</v>
      </c>
      <c r="T311" s="31">
        <v>277724837</v>
      </c>
      <c r="U311" s="31">
        <v>288484372</v>
      </c>
      <c r="V311" s="31">
        <v>392847227</v>
      </c>
      <c r="W311" s="31">
        <v>328663524</v>
      </c>
      <c r="X311" s="31">
        <v>354172677</v>
      </c>
      <c r="Y311" s="31">
        <v>337079918</v>
      </c>
      <c r="Z311" s="31">
        <v>333670098</v>
      </c>
      <c r="AA311" s="31">
        <v>340644911</v>
      </c>
      <c r="AB311" s="31">
        <v>350623306</v>
      </c>
      <c r="AC311" s="31">
        <v>339981055</v>
      </c>
      <c r="AD311" s="32">
        <v>304175475</v>
      </c>
      <c r="AE311" s="33">
        <v>328610091</v>
      </c>
      <c r="AF311" s="33">
        <v>356724995</v>
      </c>
      <c r="AG311" s="32">
        <v>396690136</v>
      </c>
      <c r="AH311" s="34">
        <v>419060359</v>
      </c>
      <c r="AI311" s="34">
        <v>404959704</v>
      </c>
      <c r="AJ311" s="35">
        <v>415411439</v>
      </c>
      <c r="AK311" s="35">
        <v>432088642</v>
      </c>
      <c r="AL311" s="35">
        <v>466701299</v>
      </c>
      <c r="AM311" s="35">
        <v>423810216</v>
      </c>
      <c r="AN311" s="36">
        <v>438910801</v>
      </c>
      <c r="AO311" s="35">
        <v>448591013</v>
      </c>
      <c r="AP311" s="35">
        <v>472155099</v>
      </c>
      <c r="AQ311" s="35">
        <v>471476482</v>
      </c>
      <c r="AR311" s="35">
        <v>351647991</v>
      </c>
      <c r="AS311" s="35">
        <v>330427214</v>
      </c>
      <c r="AT311" s="35">
        <v>322368407</v>
      </c>
      <c r="AU311" s="35">
        <v>329783696</v>
      </c>
      <c r="AV311" s="35">
        <v>336423927</v>
      </c>
      <c r="AW311" s="35">
        <v>339524619</v>
      </c>
      <c r="AX311" s="35">
        <v>352200218</v>
      </c>
      <c r="AY311" s="35">
        <v>345540751</v>
      </c>
    </row>
    <row r="312" spans="1:51">
      <c r="A312" s="20"/>
      <c r="C312" s="3" t="s">
        <v>61</v>
      </c>
      <c r="D312" s="30">
        <v>45378000</v>
      </c>
      <c r="E312" s="30">
        <v>54290000</v>
      </c>
      <c r="F312" s="30">
        <v>69193000</v>
      </c>
      <c r="G312" s="30">
        <v>91882000</v>
      </c>
      <c r="H312" s="30">
        <v>116060517</v>
      </c>
      <c r="I312" s="30">
        <v>117334838</v>
      </c>
      <c r="J312" s="30">
        <v>141415391</v>
      </c>
      <c r="K312" s="30">
        <v>147522130</v>
      </c>
      <c r="L312" s="30">
        <v>162654124</v>
      </c>
      <c r="M312" s="30">
        <v>180072629</v>
      </c>
      <c r="N312" s="30">
        <v>192485756</v>
      </c>
      <c r="O312" s="30">
        <v>183124104</v>
      </c>
      <c r="P312" s="30">
        <v>210487846</v>
      </c>
      <c r="Q312" s="31">
        <v>200856820</v>
      </c>
      <c r="R312" s="31">
        <v>225368951</v>
      </c>
      <c r="S312" s="31">
        <v>229235192</v>
      </c>
      <c r="T312" s="31">
        <v>245979135</v>
      </c>
      <c r="U312" s="31">
        <v>256670117</v>
      </c>
      <c r="V312" s="31">
        <v>281109458</v>
      </c>
      <c r="W312" s="31">
        <v>273691559</v>
      </c>
      <c r="X312" s="31">
        <v>290584130</v>
      </c>
      <c r="Y312" s="31">
        <v>288564850</v>
      </c>
      <c r="Z312" s="31">
        <v>294791908</v>
      </c>
      <c r="AA312" s="31">
        <v>313199445</v>
      </c>
      <c r="AB312" s="31">
        <v>305100912</v>
      </c>
      <c r="AC312" s="31">
        <v>300460152</v>
      </c>
      <c r="AD312" s="32">
        <v>301313072</v>
      </c>
      <c r="AE312" s="33">
        <v>288648802</v>
      </c>
      <c r="AF312" s="33">
        <v>175170752</v>
      </c>
      <c r="AG312" s="32">
        <v>184673487</v>
      </c>
      <c r="AH312" s="34">
        <v>234352800</v>
      </c>
      <c r="AI312" s="34">
        <v>195364181</v>
      </c>
      <c r="AJ312" s="35">
        <v>204981896</v>
      </c>
      <c r="AK312" s="35">
        <v>206800748</v>
      </c>
      <c r="AL312" s="35">
        <v>223662731</v>
      </c>
      <c r="AM312" s="35">
        <v>206540077</v>
      </c>
      <c r="AN312" s="36">
        <v>206475637</v>
      </c>
      <c r="AO312" s="35">
        <v>201461853</v>
      </c>
      <c r="AP312" s="35">
        <v>220495650</v>
      </c>
      <c r="AQ312" s="35">
        <v>219150648</v>
      </c>
      <c r="AR312" s="35">
        <v>224296797</v>
      </c>
      <c r="AS312" s="35">
        <v>218243871</v>
      </c>
      <c r="AT312" s="35">
        <v>229549900</v>
      </c>
      <c r="AU312" s="35">
        <v>234998458</v>
      </c>
      <c r="AV312" s="35">
        <v>241811701</v>
      </c>
      <c r="AW312" s="35">
        <v>238504334</v>
      </c>
      <c r="AX312" s="35">
        <v>247006823</v>
      </c>
      <c r="AY312" s="35">
        <v>253978980</v>
      </c>
    </row>
    <row r="313" spans="1:51">
      <c r="A313" s="20"/>
      <c r="C313" s="3" t="s">
        <v>63</v>
      </c>
      <c r="D313" s="30">
        <v>51126000</v>
      </c>
      <c r="E313" s="30">
        <v>56398000</v>
      </c>
      <c r="F313" s="30">
        <v>63413000</v>
      </c>
      <c r="G313" s="30">
        <v>69987000</v>
      </c>
      <c r="H313" s="30">
        <v>79206083</v>
      </c>
      <c r="I313" s="30">
        <v>106765990</v>
      </c>
      <c r="J313" s="30">
        <v>87697499</v>
      </c>
      <c r="K313" s="30">
        <v>90251581</v>
      </c>
      <c r="L313" s="30">
        <v>92144197</v>
      </c>
      <c r="M313" s="30">
        <v>109137790</v>
      </c>
      <c r="N313" s="30">
        <v>114438373</v>
      </c>
      <c r="O313" s="30">
        <v>133870988</v>
      </c>
      <c r="P313" s="30">
        <v>126805354</v>
      </c>
      <c r="Q313" s="31">
        <v>124993846</v>
      </c>
      <c r="R313" s="31">
        <v>192132080</v>
      </c>
      <c r="S313" s="31">
        <v>132747049</v>
      </c>
      <c r="T313" s="31">
        <v>180524728</v>
      </c>
      <c r="U313" s="31">
        <v>160245642</v>
      </c>
      <c r="V313" s="31">
        <v>185757086</v>
      </c>
      <c r="W313" s="31">
        <v>206007950</v>
      </c>
      <c r="X313" s="31">
        <v>227667748</v>
      </c>
      <c r="Y313" s="31">
        <v>228105628</v>
      </c>
      <c r="Z313" s="31">
        <v>254001177</v>
      </c>
      <c r="AA313" s="31">
        <v>429881518</v>
      </c>
      <c r="AB313" s="31">
        <v>292772483</v>
      </c>
      <c r="AC313" s="31">
        <v>272762513</v>
      </c>
      <c r="AD313" s="37">
        <v>286875803</v>
      </c>
      <c r="AE313" s="37">
        <v>282674800</v>
      </c>
      <c r="AF313" s="37">
        <v>287186923</v>
      </c>
      <c r="AG313" s="37">
        <v>289488070</v>
      </c>
      <c r="AH313" s="37">
        <v>288467558</v>
      </c>
      <c r="AI313" s="37">
        <v>299054266</v>
      </c>
      <c r="AJ313" s="37">
        <v>301333561</v>
      </c>
      <c r="AK313" s="37">
        <v>359762714</v>
      </c>
      <c r="AL313" s="37">
        <v>366316444</v>
      </c>
      <c r="AM313" s="37">
        <v>368565652</v>
      </c>
      <c r="AN313" s="37">
        <v>387220034</v>
      </c>
      <c r="AO313" s="37">
        <v>381928416</v>
      </c>
      <c r="AP313" s="37">
        <v>357348257</v>
      </c>
      <c r="AQ313" s="37">
        <v>377777822</v>
      </c>
      <c r="AR313" s="37">
        <v>398044208</v>
      </c>
      <c r="AS313" s="37">
        <v>410117373</v>
      </c>
      <c r="AT313" s="41">
        <f t="shared" ref="AT313:AY313" si="988">SUM(AT314:AT317)</f>
        <v>417520185</v>
      </c>
      <c r="AU313" s="41">
        <f t="shared" si="988"/>
        <v>427737088</v>
      </c>
      <c r="AV313" s="41">
        <f t="shared" si="988"/>
        <v>436255795</v>
      </c>
      <c r="AW313" s="41">
        <f t="shared" si="988"/>
        <v>376108711</v>
      </c>
      <c r="AX313" s="41">
        <f t="shared" si="988"/>
        <v>453687339</v>
      </c>
      <c r="AY313" s="41">
        <f t="shared" si="988"/>
        <v>1095711335</v>
      </c>
    </row>
    <row r="314" spans="1:51">
      <c r="A314" s="20"/>
      <c r="C314" s="3" t="s">
        <v>62</v>
      </c>
      <c r="D314" s="30">
        <v>7646000</v>
      </c>
      <c r="E314" s="30">
        <v>8178000</v>
      </c>
      <c r="F314" s="30">
        <v>8894000</v>
      </c>
      <c r="G314" s="30">
        <v>9617000</v>
      </c>
      <c r="H314" s="30">
        <v>10171887</v>
      </c>
      <c r="I314" s="30">
        <v>21162648</v>
      </c>
      <c r="J314" s="30">
        <v>12718000</v>
      </c>
      <c r="K314" s="30">
        <v>12534000</v>
      </c>
      <c r="L314" s="30">
        <v>12941000</v>
      </c>
      <c r="M314" s="30">
        <v>13262000</v>
      </c>
      <c r="N314" s="30">
        <v>15429000</v>
      </c>
      <c r="O314" s="30">
        <v>14695000</v>
      </c>
      <c r="P314" s="30">
        <v>14877000</v>
      </c>
      <c r="Q314" s="31">
        <v>16552000</v>
      </c>
      <c r="R314" s="31">
        <v>16244000</v>
      </c>
      <c r="S314" s="31">
        <v>18025346</v>
      </c>
      <c r="T314" s="31">
        <v>19819782</v>
      </c>
      <c r="U314" s="31">
        <v>22755443</v>
      </c>
      <c r="V314" s="31">
        <v>35856754</v>
      </c>
      <c r="W314" s="31">
        <v>38538500</v>
      </c>
      <c r="X314" s="31">
        <v>45596213</v>
      </c>
      <c r="Y314" s="31">
        <v>47780570</v>
      </c>
      <c r="Z314" s="31">
        <v>49308045</v>
      </c>
      <c r="AA314" s="31">
        <v>51854612</v>
      </c>
      <c r="AB314" s="31">
        <v>52149830</v>
      </c>
      <c r="AC314" s="31">
        <v>52299995</v>
      </c>
      <c r="AD314" s="32">
        <v>50433130</v>
      </c>
      <c r="AE314" s="33">
        <v>47264415</v>
      </c>
      <c r="AF314" s="33">
        <v>47046961</v>
      </c>
      <c r="AG314" s="32">
        <v>47046961</v>
      </c>
      <c r="AH314" s="34">
        <v>46006421</v>
      </c>
      <c r="AI314" s="34">
        <v>43349660</v>
      </c>
      <c r="AJ314" s="35">
        <v>44517652</v>
      </c>
      <c r="AK314" s="35">
        <v>46416154</v>
      </c>
      <c r="AL314" s="35">
        <v>46947787</v>
      </c>
      <c r="AM314" s="35">
        <v>46058889</v>
      </c>
      <c r="AN314" s="36">
        <v>49996281</v>
      </c>
      <c r="AO314" s="35">
        <v>65756311</v>
      </c>
      <c r="AP314" s="35">
        <v>67392144</v>
      </c>
      <c r="AQ314" s="35">
        <v>70232237</v>
      </c>
      <c r="AR314" s="35">
        <v>52479473</v>
      </c>
      <c r="AS314" s="35">
        <v>53298833</v>
      </c>
      <c r="AT314" s="35">
        <v>96405144</v>
      </c>
      <c r="AU314" s="35">
        <v>56741613</v>
      </c>
      <c r="AV314" s="35">
        <v>58956245</v>
      </c>
      <c r="AW314" s="35">
        <v>58870503</v>
      </c>
      <c r="AX314" s="35">
        <v>80467492</v>
      </c>
      <c r="AY314" s="35">
        <v>45518049</v>
      </c>
    </row>
    <row r="315" spans="1:51">
      <c r="A315" s="20"/>
      <c r="C315" s="3" t="s">
        <v>64</v>
      </c>
      <c r="D315" s="30">
        <v>4512000</v>
      </c>
      <c r="E315" s="30">
        <v>5366000</v>
      </c>
      <c r="F315" s="30">
        <v>5696000</v>
      </c>
      <c r="G315" s="30">
        <v>6011000</v>
      </c>
      <c r="H315" s="30">
        <v>6370199</v>
      </c>
      <c r="I315" s="30">
        <v>6889067</v>
      </c>
      <c r="J315" s="30">
        <v>15814604</v>
      </c>
      <c r="K315" s="30">
        <v>15500807</v>
      </c>
      <c r="L315" s="30">
        <v>16025267</v>
      </c>
      <c r="M315" s="30">
        <v>17915000</v>
      </c>
      <c r="N315" s="30">
        <v>17810438</v>
      </c>
      <c r="O315" s="30">
        <v>31387676</v>
      </c>
      <c r="P315" s="30">
        <v>19289953</v>
      </c>
      <c r="Q315" s="31">
        <v>18845523</v>
      </c>
      <c r="R315" s="31">
        <v>20570204</v>
      </c>
      <c r="S315" s="31">
        <v>25445906</v>
      </c>
      <c r="T315" s="31">
        <v>28797621</v>
      </c>
      <c r="U315" s="31">
        <v>29806496</v>
      </c>
      <c r="V315" s="31">
        <v>30540658</v>
      </c>
      <c r="W315" s="31">
        <v>44965267</v>
      </c>
      <c r="X315" s="31">
        <v>40939775</v>
      </c>
      <c r="Y315" s="31">
        <v>61729341</v>
      </c>
      <c r="Z315" s="31">
        <v>63811092</v>
      </c>
      <c r="AA315" s="31">
        <v>123424869</v>
      </c>
      <c r="AB315" s="31">
        <v>65189806</v>
      </c>
      <c r="AC315" s="31">
        <v>51323263</v>
      </c>
      <c r="AD315" s="32">
        <v>52932642</v>
      </c>
      <c r="AE315" s="33">
        <v>51726536</v>
      </c>
      <c r="AF315" s="33">
        <v>60515734</v>
      </c>
      <c r="AG315" s="32">
        <v>47086609</v>
      </c>
      <c r="AH315" s="34">
        <v>51405043</v>
      </c>
      <c r="AI315" s="34">
        <v>53868683</v>
      </c>
      <c r="AJ315" s="35">
        <v>52000934</v>
      </c>
      <c r="AK315" s="35">
        <v>78594241</v>
      </c>
      <c r="AL315" s="35">
        <v>78967263</v>
      </c>
      <c r="AM315" s="35">
        <v>79265649</v>
      </c>
      <c r="AN315" s="36">
        <v>83655003</v>
      </c>
      <c r="AO315" s="35">
        <v>61987880</v>
      </c>
      <c r="AP315" s="35">
        <v>66084360</v>
      </c>
      <c r="AQ315" s="35">
        <v>69540528</v>
      </c>
      <c r="AR315" s="35">
        <v>89987008</v>
      </c>
      <c r="AS315" s="35">
        <v>94659680</v>
      </c>
      <c r="AT315" s="35">
        <v>82161502</v>
      </c>
      <c r="AU315" s="35">
        <v>139129489</v>
      </c>
      <c r="AV315" s="35">
        <v>145555476</v>
      </c>
      <c r="AW315" s="35">
        <v>124566233</v>
      </c>
      <c r="AX315" s="35">
        <v>171127808</v>
      </c>
      <c r="AY315" s="35">
        <v>178470278</v>
      </c>
    </row>
    <row r="316" spans="1:51">
      <c r="A316" s="20"/>
      <c r="C316" s="3" t="s">
        <v>65</v>
      </c>
      <c r="D316" s="30">
        <v>19372000</v>
      </c>
      <c r="E316" s="30">
        <v>20393000</v>
      </c>
      <c r="F316" s="30">
        <v>22190000</v>
      </c>
      <c r="G316" s="30">
        <v>22772000</v>
      </c>
      <c r="H316" s="30">
        <v>25973342</v>
      </c>
      <c r="I316" s="30">
        <v>37617587</v>
      </c>
      <c r="J316" s="30">
        <v>21047968</v>
      </c>
      <c r="K316" s="30">
        <v>22484576</v>
      </c>
      <c r="L316" s="30">
        <v>23574807</v>
      </c>
      <c r="M316" s="30">
        <v>31003519</v>
      </c>
      <c r="N316" s="30">
        <v>31487218</v>
      </c>
      <c r="O316" s="30">
        <v>39644634</v>
      </c>
      <c r="P316" s="30">
        <v>32118806</v>
      </c>
      <c r="Q316" s="31">
        <v>33604495</v>
      </c>
      <c r="R316" s="31">
        <v>53917568</v>
      </c>
      <c r="S316" s="31">
        <v>43783353</v>
      </c>
      <c r="T316" s="31">
        <v>45235181</v>
      </c>
      <c r="U316" s="31">
        <v>61341394</v>
      </c>
      <c r="V316" s="31">
        <v>65798061</v>
      </c>
      <c r="W316" s="31">
        <v>61993005</v>
      </c>
      <c r="X316" s="31">
        <v>70322008</v>
      </c>
      <c r="Y316" s="31">
        <v>54233295</v>
      </c>
      <c r="Z316" s="31">
        <v>71047495</v>
      </c>
      <c r="AA316" s="31">
        <v>117658414</v>
      </c>
      <c r="AB316" s="31">
        <v>91220321</v>
      </c>
      <c r="AC316" s="31">
        <v>97100342</v>
      </c>
      <c r="AD316" s="32">
        <v>108121726</v>
      </c>
      <c r="AE316" s="33">
        <v>112775610</v>
      </c>
      <c r="AF316" s="33">
        <v>110279630</v>
      </c>
      <c r="AG316" s="32">
        <v>124014328</v>
      </c>
      <c r="AH316" s="34">
        <v>126233714</v>
      </c>
      <c r="AI316" s="34">
        <v>134244032</v>
      </c>
      <c r="AJ316" s="35">
        <v>140761514</v>
      </c>
      <c r="AK316" s="35">
        <v>169947836</v>
      </c>
      <c r="AL316" s="35">
        <v>171535417</v>
      </c>
      <c r="AM316" s="35">
        <v>176865637</v>
      </c>
      <c r="AN316" s="36">
        <v>188707303</v>
      </c>
      <c r="AO316" s="35">
        <v>188937535</v>
      </c>
      <c r="AP316" s="35">
        <v>156393542</v>
      </c>
      <c r="AQ316" s="35">
        <v>161364068</v>
      </c>
      <c r="AR316" s="35">
        <v>174343592</v>
      </c>
      <c r="AS316" s="35">
        <v>178256793</v>
      </c>
      <c r="AT316" s="35">
        <v>157715629</v>
      </c>
      <c r="AU316" s="35">
        <v>154696623</v>
      </c>
      <c r="AV316" s="35">
        <v>154925825</v>
      </c>
      <c r="AW316" s="35">
        <v>115557088</v>
      </c>
      <c r="AX316" s="35">
        <v>120444094</v>
      </c>
      <c r="AY316" s="35">
        <v>170659619</v>
      </c>
    </row>
    <row r="317" spans="1:51">
      <c r="A317" s="20"/>
      <c r="C317" s="3" t="s">
        <v>66</v>
      </c>
      <c r="D317" s="30">
        <v>19597000</v>
      </c>
      <c r="E317" s="30">
        <v>22461000</v>
      </c>
      <c r="F317" s="30">
        <v>26633000</v>
      </c>
      <c r="G317" s="30">
        <v>31587000</v>
      </c>
      <c r="H317" s="30">
        <v>36690658</v>
      </c>
      <c r="I317" s="30">
        <v>41096688</v>
      </c>
      <c r="J317" s="30">
        <v>38116927</v>
      </c>
      <c r="K317" s="30">
        <v>39732198</v>
      </c>
      <c r="L317" s="30">
        <v>39603123</v>
      </c>
      <c r="M317" s="30">
        <v>46957271</v>
      </c>
      <c r="N317" s="30">
        <v>49711717</v>
      </c>
      <c r="O317" s="30">
        <v>48143678</v>
      </c>
      <c r="P317" s="30">
        <v>60519595</v>
      </c>
      <c r="Q317" s="31">
        <v>55991828</v>
      </c>
      <c r="R317" s="31">
        <v>101400308</v>
      </c>
      <c r="S317" s="31">
        <v>45492444</v>
      </c>
      <c r="T317" s="31">
        <v>86672144</v>
      </c>
      <c r="U317" s="31">
        <v>46342309</v>
      </c>
      <c r="V317" s="31">
        <v>53561613</v>
      </c>
      <c r="W317" s="31">
        <v>60511178</v>
      </c>
      <c r="X317" s="31">
        <v>70809752</v>
      </c>
      <c r="Y317" s="31">
        <v>64362422</v>
      </c>
      <c r="Z317" s="31">
        <v>69834545</v>
      </c>
      <c r="AA317" s="31">
        <v>136943623</v>
      </c>
      <c r="AB317" s="31">
        <v>84212526</v>
      </c>
      <c r="AC317" s="31">
        <v>72038913</v>
      </c>
      <c r="AD317" s="32">
        <v>75388305</v>
      </c>
      <c r="AE317" s="33">
        <v>70908239</v>
      </c>
      <c r="AF317" s="33">
        <v>69344598</v>
      </c>
      <c r="AG317" s="32">
        <v>71340172</v>
      </c>
      <c r="AH317" s="34">
        <v>64822380</v>
      </c>
      <c r="AI317" s="34">
        <v>67591891</v>
      </c>
      <c r="AJ317" s="35">
        <v>64053461</v>
      </c>
      <c r="AK317" s="35">
        <v>64804483</v>
      </c>
      <c r="AL317" s="35">
        <v>68865977</v>
      </c>
      <c r="AM317" s="35">
        <v>66375477</v>
      </c>
      <c r="AN317" s="36">
        <v>64861447</v>
      </c>
      <c r="AO317" s="35">
        <v>65246690</v>
      </c>
      <c r="AP317" s="35">
        <v>67478211</v>
      </c>
      <c r="AQ317" s="35">
        <v>76640989</v>
      </c>
      <c r="AR317" s="35">
        <v>81234135</v>
      </c>
      <c r="AS317" s="35">
        <v>83902067</v>
      </c>
      <c r="AT317" s="35">
        <v>81237910</v>
      </c>
      <c r="AU317" s="35">
        <v>77169363</v>
      </c>
      <c r="AV317" s="35">
        <v>76818249</v>
      </c>
      <c r="AW317" s="35">
        <v>77114887</v>
      </c>
      <c r="AX317" s="35">
        <v>81647945</v>
      </c>
      <c r="AY317" s="35">
        <v>701063389</v>
      </c>
    </row>
    <row r="318" spans="1:51">
      <c r="A318" s="20"/>
      <c r="C318" s="3" t="s">
        <v>67</v>
      </c>
      <c r="D318" s="30">
        <v>580394000</v>
      </c>
      <c r="E318" s="30">
        <v>777183000</v>
      </c>
      <c r="F318" s="30">
        <v>827712000</v>
      </c>
      <c r="G318" s="30">
        <v>1005802000</v>
      </c>
      <c r="H318" s="30">
        <v>1012575239</v>
      </c>
      <c r="I318" s="30">
        <v>1072306347</v>
      </c>
      <c r="J318" s="30">
        <v>1241799337</v>
      </c>
      <c r="K318" s="30">
        <v>1369321972</v>
      </c>
      <c r="L318" s="30">
        <v>1399726047</v>
      </c>
      <c r="M318" s="30">
        <v>1600993735</v>
      </c>
      <c r="N318" s="30">
        <v>1697822791</v>
      </c>
      <c r="O318" s="30">
        <v>1756318079</v>
      </c>
      <c r="P318" s="30">
        <v>1876515312</v>
      </c>
      <c r="Q318" s="31">
        <v>1974307105</v>
      </c>
      <c r="R318" s="31">
        <v>2129127142</v>
      </c>
      <c r="S318" s="31">
        <v>2178222086</v>
      </c>
      <c r="T318" s="31">
        <v>2287182774</v>
      </c>
      <c r="U318" s="31">
        <v>2439238483</v>
      </c>
      <c r="V318" s="31">
        <v>2568606356</v>
      </c>
      <c r="W318" s="31">
        <v>2709834094</v>
      </c>
      <c r="X318" s="31">
        <v>2633292798</v>
      </c>
      <c r="Y318" s="31">
        <v>2690374110</v>
      </c>
      <c r="Z318" s="31">
        <v>2787176988</v>
      </c>
      <c r="AA318" s="31">
        <v>2837949844</v>
      </c>
      <c r="AB318" s="31">
        <v>2912925230</v>
      </c>
      <c r="AC318" s="31">
        <v>2916886084</v>
      </c>
      <c r="AD318" s="37">
        <v>3118505149</v>
      </c>
      <c r="AE318" s="37">
        <v>3051701632</v>
      </c>
      <c r="AF318" s="37">
        <v>3114381081</v>
      </c>
      <c r="AG318" s="37">
        <v>3368290621</v>
      </c>
      <c r="AH318" s="37">
        <v>3456173509</v>
      </c>
      <c r="AI318" s="37">
        <v>3720115558</v>
      </c>
      <c r="AJ318" s="37">
        <v>3857522672</v>
      </c>
      <c r="AK318" s="37">
        <v>3763665907</v>
      </c>
      <c r="AL318" s="37">
        <v>3774409110</v>
      </c>
      <c r="AM318" s="37">
        <v>3746304757</v>
      </c>
      <c r="AN318" s="37">
        <v>3805138357</v>
      </c>
      <c r="AO318" s="37">
        <v>3890195501</v>
      </c>
      <c r="AP318" s="37">
        <v>3962551461</v>
      </c>
      <c r="AQ318" s="37">
        <v>3982203937</v>
      </c>
      <c r="AR318" s="37">
        <v>4157433909</v>
      </c>
      <c r="AS318" s="37">
        <v>4053395242</v>
      </c>
      <c r="AT318" s="41">
        <f t="shared" ref="AT318:AY318" si="989">SUM(AT319:AT322)</f>
        <v>3979364019</v>
      </c>
      <c r="AU318" s="41">
        <f t="shared" si="989"/>
        <v>3988550927</v>
      </c>
      <c r="AV318" s="41">
        <f t="shared" si="989"/>
        <v>4047273201</v>
      </c>
      <c r="AW318" s="41">
        <f t="shared" si="989"/>
        <v>4204691148</v>
      </c>
      <c r="AX318" s="41">
        <f t="shared" si="989"/>
        <v>4035205957</v>
      </c>
      <c r="AY318" s="41">
        <f t="shared" si="989"/>
        <v>6463680657</v>
      </c>
    </row>
    <row r="319" spans="1:51">
      <c r="A319" s="20"/>
      <c r="C319" s="3" t="s">
        <v>68</v>
      </c>
      <c r="D319" s="30">
        <v>84133000</v>
      </c>
      <c r="E319" s="30">
        <v>100180000</v>
      </c>
      <c r="F319" s="30">
        <v>104162000</v>
      </c>
      <c r="G319" s="30">
        <v>167699000</v>
      </c>
      <c r="H319" s="30">
        <v>134770295</v>
      </c>
      <c r="I319" s="30">
        <v>100055038</v>
      </c>
      <c r="J319" s="30">
        <v>182758738</v>
      </c>
      <c r="K319" s="30">
        <v>191315791</v>
      </c>
      <c r="L319" s="30">
        <v>208260610</v>
      </c>
      <c r="M319" s="30">
        <v>220151910</v>
      </c>
      <c r="N319" s="30">
        <v>222372505</v>
      </c>
      <c r="O319" s="30">
        <v>268616903</v>
      </c>
      <c r="P319" s="30">
        <v>284233246</v>
      </c>
      <c r="Q319" s="31">
        <v>304437733</v>
      </c>
      <c r="R319" s="31">
        <v>387823987</v>
      </c>
      <c r="S319" s="31">
        <v>415372003</v>
      </c>
      <c r="T319" s="31">
        <v>392891138</v>
      </c>
      <c r="U319" s="31">
        <v>412156704</v>
      </c>
      <c r="V319" s="31">
        <v>452375049</v>
      </c>
      <c r="W319" s="31">
        <v>636176828</v>
      </c>
      <c r="X319" s="31">
        <v>492428285</v>
      </c>
      <c r="Y319" s="31">
        <v>594327453</v>
      </c>
      <c r="Z319" s="31">
        <v>529191842</v>
      </c>
      <c r="AA319" s="31">
        <v>606825344</v>
      </c>
      <c r="AB319" s="31">
        <v>636082222</v>
      </c>
      <c r="AC319" s="31">
        <v>628137333</v>
      </c>
      <c r="AD319" s="32">
        <v>668215815</v>
      </c>
      <c r="AE319" s="33">
        <v>680052637</v>
      </c>
      <c r="AF319" s="33">
        <v>754336222</v>
      </c>
      <c r="AG319" s="32">
        <v>806061860</v>
      </c>
      <c r="AH319" s="34">
        <v>840235157</v>
      </c>
      <c r="AI319" s="34">
        <v>992243397</v>
      </c>
      <c r="AJ319" s="35">
        <v>1194720395</v>
      </c>
      <c r="AK319" s="35">
        <v>1117864252</v>
      </c>
      <c r="AL319" s="35">
        <v>1125343212</v>
      </c>
      <c r="AM319" s="35">
        <v>1141463298</v>
      </c>
      <c r="AN319" s="36">
        <v>1179502386</v>
      </c>
      <c r="AO319" s="35">
        <v>1210378859</v>
      </c>
      <c r="AP319" s="35">
        <v>1290111282</v>
      </c>
      <c r="AQ319" s="35">
        <v>1334010170</v>
      </c>
      <c r="AR319" s="35">
        <v>1456645066</v>
      </c>
      <c r="AS319" s="35">
        <v>1470030632</v>
      </c>
      <c r="AT319" s="35">
        <v>1428053129</v>
      </c>
      <c r="AU319" s="35">
        <v>1498859041</v>
      </c>
      <c r="AV319" s="35">
        <v>1503003633</v>
      </c>
      <c r="AW319" s="35">
        <v>1570455600</v>
      </c>
      <c r="AX319" s="35">
        <v>1431856965</v>
      </c>
      <c r="AY319" s="35">
        <v>1836648050</v>
      </c>
    </row>
    <row r="320" spans="1:51">
      <c r="A320" s="20"/>
      <c r="C320" s="3" t="s">
        <v>69</v>
      </c>
      <c r="D320" s="30">
        <v>117959000</v>
      </c>
      <c r="E320" s="30">
        <v>207176000</v>
      </c>
      <c r="F320" s="30">
        <v>201883000</v>
      </c>
      <c r="G320" s="30">
        <v>236354000</v>
      </c>
      <c r="H320" s="30">
        <v>250605146</v>
      </c>
      <c r="I320" s="30">
        <v>255724727</v>
      </c>
      <c r="J320" s="30">
        <v>311797331</v>
      </c>
      <c r="K320" s="30">
        <v>331157092</v>
      </c>
      <c r="L320" s="30">
        <v>316834251</v>
      </c>
      <c r="M320" s="30">
        <v>358286685</v>
      </c>
      <c r="N320" s="30">
        <v>399949283</v>
      </c>
      <c r="O320" s="30">
        <v>397674033</v>
      </c>
      <c r="P320" s="30">
        <v>395571064</v>
      </c>
      <c r="Q320" s="31">
        <v>439781863</v>
      </c>
      <c r="R320" s="31">
        <v>450792672</v>
      </c>
      <c r="S320" s="31">
        <v>469597764</v>
      </c>
      <c r="T320" s="31">
        <v>539692061</v>
      </c>
      <c r="U320" s="31">
        <v>552361326</v>
      </c>
      <c r="V320" s="31">
        <v>589581295</v>
      </c>
      <c r="W320" s="31">
        <v>518597844</v>
      </c>
      <c r="X320" s="31">
        <v>585004801</v>
      </c>
      <c r="Y320" s="31">
        <v>538697850</v>
      </c>
      <c r="Z320" s="31">
        <v>635108115</v>
      </c>
      <c r="AA320" s="31">
        <v>574163077</v>
      </c>
      <c r="AB320" s="31">
        <v>601549043</v>
      </c>
      <c r="AC320" s="31">
        <v>615056784</v>
      </c>
      <c r="AD320" s="32">
        <v>634323364</v>
      </c>
      <c r="AE320" s="33">
        <v>684054504</v>
      </c>
      <c r="AF320" s="33">
        <v>667933724</v>
      </c>
      <c r="AG320" s="32">
        <v>706684857</v>
      </c>
      <c r="AH320" s="34">
        <v>696023809</v>
      </c>
      <c r="AI320" s="34">
        <v>724509429</v>
      </c>
      <c r="AJ320" s="35">
        <v>692453756</v>
      </c>
      <c r="AK320" s="35">
        <v>717017807</v>
      </c>
      <c r="AL320" s="35">
        <v>750068482</v>
      </c>
      <c r="AM320" s="35">
        <v>718246600</v>
      </c>
      <c r="AN320" s="36">
        <v>760779704</v>
      </c>
      <c r="AO320" s="35">
        <v>749298366</v>
      </c>
      <c r="AP320" s="35">
        <v>776859831</v>
      </c>
      <c r="AQ320" s="35">
        <v>898706060</v>
      </c>
      <c r="AR320" s="35">
        <v>918355907</v>
      </c>
      <c r="AS320" s="35">
        <v>916341768</v>
      </c>
      <c r="AT320" s="35">
        <v>951041553</v>
      </c>
      <c r="AU320" s="35">
        <v>932408587</v>
      </c>
      <c r="AV320" s="35">
        <v>949021267</v>
      </c>
      <c r="AW320" s="35">
        <v>1030680333</v>
      </c>
      <c r="AX320" s="35">
        <v>980266828</v>
      </c>
      <c r="AY320" s="35">
        <v>674627566</v>
      </c>
    </row>
    <row r="321" spans="1:51">
      <c r="A321" s="20"/>
      <c r="C321" s="3" t="s">
        <v>70</v>
      </c>
      <c r="D321" s="30">
        <v>180639000</v>
      </c>
      <c r="E321" s="30">
        <v>211134000</v>
      </c>
      <c r="F321" s="30">
        <v>242267000</v>
      </c>
      <c r="G321" s="30">
        <v>264693000</v>
      </c>
      <c r="H321" s="30">
        <v>296139981</v>
      </c>
      <c r="I321" s="30">
        <v>337724047</v>
      </c>
      <c r="J321" s="30">
        <v>361612099</v>
      </c>
      <c r="K321" s="30">
        <v>412515485</v>
      </c>
      <c r="L321" s="30">
        <v>424992304</v>
      </c>
      <c r="M321" s="30">
        <v>486756444</v>
      </c>
      <c r="N321" s="30">
        <v>544437283</v>
      </c>
      <c r="O321" s="30">
        <v>511989620</v>
      </c>
      <c r="P321" s="30">
        <v>585884721</v>
      </c>
      <c r="Q321" s="31">
        <v>593064534</v>
      </c>
      <c r="R321" s="31">
        <v>583741742</v>
      </c>
      <c r="S321" s="31">
        <v>659017045</v>
      </c>
      <c r="T321" s="31">
        <v>662442583</v>
      </c>
      <c r="U321" s="31">
        <v>736110119</v>
      </c>
      <c r="V321" s="31">
        <v>805455210</v>
      </c>
      <c r="W321" s="31">
        <v>803584799</v>
      </c>
      <c r="X321" s="31">
        <v>846623114</v>
      </c>
      <c r="Y321" s="31">
        <v>823236185</v>
      </c>
      <c r="Z321" s="31">
        <v>923074288</v>
      </c>
      <c r="AA321" s="31">
        <v>924028595</v>
      </c>
      <c r="AB321" s="31">
        <v>922007075</v>
      </c>
      <c r="AC321" s="31">
        <v>932382242</v>
      </c>
      <c r="AD321" s="32">
        <v>1032972140</v>
      </c>
      <c r="AE321" s="33">
        <v>1056555763</v>
      </c>
      <c r="AF321" s="33">
        <v>1054690663</v>
      </c>
      <c r="AG321" s="32">
        <v>1150413362</v>
      </c>
      <c r="AH321" s="34">
        <v>1214040699</v>
      </c>
      <c r="AI321" s="34">
        <v>1349224111</v>
      </c>
      <c r="AJ321" s="35">
        <v>1389076820</v>
      </c>
      <c r="AK321" s="35">
        <v>1338857781</v>
      </c>
      <c r="AL321" s="35">
        <v>1311341923</v>
      </c>
      <c r="AM321" s="35">
        <v>1294019465</v>
      </c>
      <c r="AN321" s="36">
        <v>1286642006</v>
      </c>
      <c r="AO321" s="35">
        <v>1313766709</v>
      </c>
      <c r="AP321" s="35">
        <v>1321994371</v>
      </c>
      <c r="AQ321" s="35">
        <v>1207330093</v>
      </c>
      <c r="AR321" s="35">
        <v>1202849141</v>
      </c>
      <c r="AS321" s="35">
        <v>1127112768</v>
      </c>
      <c r="AT321" s="35">
        <v>1190997122</v>
      </c>
      <c r="AU321" s="35">
        <v>1164727835</v>
      </c>
      <c r="AV321" s="35">
        <v>1202241523</v>
      </c>
      <c r="AW321" s="35">
        <v>1214429609</v>
      </c>
      <c r="AX321" s="35">
        <v>1248889638</v>
      </c>
      <c r="AY321" s="35">
        <v>3563645722</v>
      </c>
    </row>
    <row r="322" spans="1:51">
      <c r="A322" s="20"/>
      <c r="C322" s="3" t="s">
        <v>71</v>
      </c>
      <c r="D322" s="30">
        <v>197663000</v>
      </c>
      <c r="E322" s="30">
        <v>258693000</v>
      </c>
      <c r="F322" s="30">
        <v>279400000</v>
      </c>
      <c r="G322" s="30">
        <v>337056000</v>
      </c>
      <c r="H322" s="30">
        <v>331059817</v>
      </c>
      <c r="I322" s="30">
        <v>378802535</v>
      </c>
      <c r="J322" s="30">
        <v>385631169</v>
      </c>
      <c r="K322" s="30">
        <v>434333604</v>
      </c>
      <c r="L322" s="30">
        <v>449638882</v>
      </c>
      <c r="M322" s="30">
        <v>535798696</v>
      </c>
      <c r="N322" s="30">
        <v>531063720</v>
      </c>
      <c r="O322" s="30">
        <v>578037523</v>
      </c>
      <c r="P322" s="30">
        <v>610826281</v>
      </c>
      <c r="Q322" s="31">
        <v>637022975</v>
      </c>
      <c r="R322" s="31">
        <v>706768741</v>
      </c>
      <c r="S322" s="31">
        <v>634235274</v>
      </c>
      <c r="T322" s="31">
        <v>692156992</v>
      </c>
      <c r="U322" s="31">
        <v>738610334</v>
      </c>
      <c r="V322" s="31">
        <v>721194802</v>
      </c>
      <c r="W322" s="31">
        <v>751474623</v>
      </c>
      <c r="X322" s="31">
        <v>709236598</v>
      </c>
      <c r="Y322" s="31">
        <v>734112622</v>
      </c>
      <c r="Z322" s="31">
        <v>699802743</v>
      </c>
      <c r="AA322" s="31">
        <v>732932828</v>
      </c>
      <c r="AB322" s="31">
        <v>753286890</v>
      </c>
      <c r="AC322" s="31">
        <v>741309725</v>
      </c>
      <c r="AD322" s="32">
        <v>782993830</v>
      </c>
      <c r="AE322" s="33">
        <v>631038728</v>
      </c>
      <c r="AF322" s="33">
        <v>637420472</v>
      </c>
      <c r="AG322" s="32">
        <v>705130542</v>
      </c>
      <c r="AH322" s="34">
        <v>705873844</v>
      </c>
      <c r="AI322" s="34">
        <v>654138621</v>
      </c>
      <c r="AJ322" s="35">
        <v>581271701</v>
      </c>
      <c r="AK322" s="35">
        <v>589926067</v>
      </c>
      <c r="AL322" s="35">
        <v>587655493</v>
      </c>
      <c r="AM322" s="35">
        <v>592575394</v>
      </c>
      <c r="AN322" s="36">
        <v>578214261</v>
      </c>
      <c r="AO322" s="35">
        <v>616751567</v>
      </c>
      <c r="AP322" s="35">
        <v>573585977</v>
      </c>
      <c r="AQ322" s="35">
        <v>542157614</v>
      </c>
      <c r="AR322" s="35">
        <v>579583795</v>
      </c>
      <c r="AS322" s="35">
        <v>539910074</v>
      </c>
      <c r="AT322" s="35">
        <v>409272215</v>
      </c>
      <c r="AU322" s="35">
        <v>392555464</v>
      </c>
      <c r="AV322" s="35">
        <v>393006778</v>
      </c>
      <c r="AW322" s="35">
        <v>389125606</v>
      </c>
      <c r="AX322" s="35">
        <v>374192526</v>
      </c>
      <c r="AY322" s="35">
        <v>388759319</v>
      </c>
    </row>
    <row r="323" spans="1:51">
      <c r="A323" s="20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4"/>
      <c r="R323" s="4"/>
      <c r="AQ323" s="4"/>
      <c r="AR323" s="4"/>
      <c r="AS323" s="4"/>
      <c r="AT323" s="4"/>
      <c r="AU323" s="4"/>
      <c r="AV323" s="4"/>
      <c r="AW323" s="4"/>
      <c r="AX323" s="4"/>
      <c r="AY323" s="4"/>
    </row>
    <row r="324" spans="1:51" s="2" customFormat="1">
      <c r="A324" s="20"/>
      <c r="C324" s="3"/>
      <c r="D324" s="1">
        <f t="shared" ref="D324:AQ324" si="990">D2</f>
        <v>1975</v>
      </c>
      <c r="E324" s="1">
        <f t="shared" ref="E324" si="991">E2</f>
        <v>76</v>
      </c>
      <c r="F324" s="1">
        <f t="shared" si="990"/>
        <v>77</v>
      </c>
      <c r="G324" s="1">
        <f t="shared" si="990"/>
        <v>78</v>
      </c>
      <c r="H324" s="1">
        <f t="shared" si="990"/>
        <v>79</v>
      </c>
      <c r="I324" s="1">
        <f t="shared" si="990"/>
        <v>80</v>
      </c>
      <c r="J324" s="1">
        <f t="shared" si="990"/>
        <v>81</v>
      </c>
      <c r="K324" s="1">
        <f t="shared" si="990"/>
        <v>82</v>
      </c>
      <c r="L324" s="1">
        <f t="shared" si="990"/>
        <v>83</v>
      </c>
      <c r="M324" s="1">
        <f t="shared" si="990"/>
        <v>84</v>
      </c>
      <c r="N324" s="1">
        <f t="shared" si="990"/>
        <v>85</v>
      </c>
      <c r="O324" s="1">
        <f t="shared" si="990"/>
        <v>86</v>
      </c>
      <c r="P324" s="1">
        <f t="shared" si="990"/>
        <v>87</v>
      </c>
      <c r="Q324" s="1">
        <f t="shared" si="990"/>
        <v>88</v>
      </c>
      <c r="R324" s="1">
        <f t="shared" si="990"/>
        <v>89</v>
      </c>
      <c r="S324" s="1" t="str">
        <f t="shared" si="990"/>
        <v>90</v>
      </c>
      <c r="T324" s="1" t="str">
        <f t="shared" si="990"/>
        <v>91</v>
      </c>
      <c r="U324" s="1" t="str">
        <f t="shared" si="990"/>
        <v>92</v>
      </c>
      <c r="V324" s="1" t="str">
        <f t="shared" si="990"/>
        <v>93</v>
      </c>
      <c r="W324" s="1" t="str">
        <f t="shared" si="990"/>
        <v>94</v>
      </c>
      <c r="X324" s="1" t="str">
        <f t="shared" si="990"/>
        <v>95</v>
      </c>
      <c r="Y324" s="1" t="str">
        <f t="shared" si="990"/>
        <v>96</v>
      </c>
      <c r="Z324" s="1" t="str">
        <f t="shared" si="990"/>
        <v>97</v>
      </c>
      <c r="AA324" s="1" t="str">
        <f t="shared" si="990"/>
        <v>98</v>
      </c>
      <c r="AB324" s="1" t="str">
        <f t="shared" si="990"/>
        <v>99</v>
      </c>
      <c r="AC324" s="1" t="str">
        <f t="shared" si="990"/>
        <v>2000</v>
      </c>
      <c r="AD324" s="1" t="str">
        <f t="shared" si="990"/>
        <v>01</v>
      </c>
      <c r="AE324" s="1" t="str">
        <f t="shared" si="990"/>
        <v>02</v>
      </c>
      <c r="AF324" s="1" t="str">
        <f t="shared" si="990"/>
        <v>03</v>
      </c>
      <c r="AG324" s="1" t="str">
        <f t="shared" si="990"/>
        <v>04</v>
      </c>
      <c r="AH324" s="1" t="str">
        <f t="shared" si="990"/>
        <v>05</v>
      </c>
      <c r="AI324" s="1" t="str">
        <f t="shared" si="990"/>
        <v>06</v>
      </c>
      <c r="AJ324" s="1" t="str">
        <f t="shared" si="990"/>
        <v>07</v>
      </c>
      <c r="AK324" s="1" t="str">
        <f t="shared" si="990"/>
        <v>08</v>
      </c>
      <c r="AL324" s="1" t="str">
        <f t="shared" si="990"/>
        <v>09</v>
      </c>
      <c r="AM324" s="1" t="str">
        <f t="shared" si="990"/>
        <v>10</v>
      </c>
      <c r="AN324" s="1" t="str">
        <f t="shared" si="990"/>
        <v>11</v>
      </c>
      <c r="AO324" s="1" t="str">
        <f t="shared" si="990"/>
        <v>12</v>
      </c>
      <c r="AP324" s="1" t="str">
        <f t="shared" si="990"/>
        <v>13</v>
      </c>
      <c r="AQ324" s="1" t="str">
        <f t="shared" si="990"/>
        <v>14</v>
      </c>
      <c r="AR324" s="1" t="str">
        <f t="shared" ref="AR324:AS324" si="992">AR2</f>
        <v>15</v>
      </c>
      <c r="AS324" s="1" t="str">
        <f t="shared" si="992"/>
        <v>16</v>
      </c>
      <c r="AT324" s="1" t="str">
        <f t="shared" ref="AT324" si="993">AT2</f>
        <v>17</v>
      </c>
      <c r="AU324" s="1">
        <v>18</v>
      </c>
      <c r="AV324" s="1">
        <v>19</v>
      </c>
      <c r="AW324" s="1">
        <v>20</v>
      </c>
      <c r="AX324" s="1">
        <v>21</v>
      </c>
      <c r="AY324" s="1">
        <v>22</v>
      </c>
    </row>
    <row r="325" spans="1:51">
      <c r="A325" s="20" t="s">
        <v>13</v>
      </c>
      <c r="B325" s="3" t="s">
        <v>20</v>
      </c>
      <c r="C325" s="3" t="s">
        <v>73</v>
      </c>
      <c r="D325" s="9">
        <v>2709000</v>
      </c>
      <c r="E325" s="9">
        <v>3295000</v>
      </c>
      <c r="F325" s="9">
        <v>3558000</v>
      </c>
      <c r="G325" s="9">
        <v>4256000</v>
      </c>
      <c r="H325" s="9">
        <v>4505070</v>
      </c>
      <c r="I325" s="9">
        <v>4837325</v>
      </c>
      <c r="J325" s="9">
        <v>5245486</v>
      </c>
      <c r="K325" s="9">
        <v>5600941</v>
      </c>
      <c r="L325" s="9">
        <v>5718951</v>
      </c>
      <c r="M325" s="9">
        <v>6362387</v>
      </c>
      <c r="N325" s="9">
        <v>6609326</v>
      </c>
      <c r="O325" s="9">
        <v>6734746</v>
      </c>
      <c r="P325" s="9">
        <v>7065596</v>
      </c>
      <c r="Q325" s="4">
        <v>7088829</v>
      </c>
      <c r="R325" s="4">
        <v>7475104</v>
      </c>
      <c r="S325" s="4">
        <v>7439200</v>
      </c>
      <c r="T325" s="4">
        <v>7779628</v>
      </c>
      <c r="U325" s="4">
        <v>8044852</v>
      </c>
      <c r="V325" s="4">
        <v>8433391</v>
      </c>
      <c r="W325" s="4">
        <v>8332465</v>
      </c>
      <c r="X325" s="4">
        <v>8287354</v>
      </c>
      <c r="Y325" s="4">
        <v>8243278</v>
      </c>
      <c r="Z325" s="4">
        <v>8215939</v>
      </c>
      <c r="AA325" s="4">
        <v>8571945</v>
      </c>
      <c r="AB325" s="4">
        <v>8081261</v>
      </c>
      <c r="AC325" s="4">
        <v>7801142</v>
      </c>
      <c r="AD325" s="4">
        <v>7885778</v>
      </c>
      <c r="AE325" s="4">
        <v>7700456</v>
      </c>
      <c r="AF325" s="4">
        <v>7726736</v>
      </c>
      <c r="AG325" s="4">
        <v>8104509</v>
      </c>
      <c r="AH325" s="4">
        <v>8504065</v>
      </c>
      <c r="AI325" s="4">
        <v>8395938</v>
      </c>
      <c r="AJ325" s="4">
        <v>8595411</v>
      </c>
      <c r="AK325" s="4">
        <v>8573785</v>
      </c>
      <c r="AL325" s="4">
        <v>8777740</v>
      </c>
      <c r="AM325" s="4">
        <v>8492073</v>
      </c>
      <c r="AN325" s="4">
        <v>8646940</v>
      </c>
      <c r="AO325" s="4">
        <v>8691184</v>
      </c>
      <c r="AP325" s="4">
        <v>8893758</v>
      </c>
      <c r="AQ325" s="4">
        <v>9114420</v>
      </c>
      <c r="AR325" s="4">
        <v>9297475</v>
      </c>
      <c r="AS325" s="4">
        <v>9091132.4776500631</v>
      </c>
      <c r="AT325" s="9">
        <f t="shared" ref="AT325:AY325" si="994">AT307/AT342</f>
        <v>9018118.1870229002</v>
      </c>
      <c r="AU325" s="9">
        <f t="shared" si="994"/>
        <v>9005869.9154040404</v>
      </c>
      <c r="AV325" s="9">
        <f t="shared" si="994"/>
        <v>9054579.4744069912</v>
      </c>
      <c r="AW325" s="9">
        <f t="shared" si="994"/>
        <v>9094789.3609394319</v>
      </c>
      <c r="AX325" s="9">
        <f t="shared" si="994"/>
        <v>9135229.9346485827</v>
      </c>
      <c r="AY325" s="9">
        <f t="shared" si="994"/>
        <v>12955378.163793104</v>
      </c>
    </row>
    <row r="326" spans="1:51">
      <c r="A326" s="20"/>
      <c r="B326" s="3" t="s">
        <v>21</v>
      </c>
      <c r="C326" s="3" t="s">
        <v>74</v>
      </c>
      <c r="D326" s="9">
        <v>6068000</v>
      </c>
      <c r="E326" s="9">
        <v>6868000</v>
      </c>
      <c r="F326" s="9">
        <v>7343000</v>
      </c>
      <c r="G326" s="9">
        <v>8766000</v>
      </c>
      <c r="H326" s="9">
        <v>9825701</v>
      </c>
      <c r="I326" s="9">
        <v>10520157</v>
      </c>
      <c r="J326" s="9">
        <v>11142121</v>
      </c>
      <c r="K326" s="9">
        <v>11587662</v>
      </c>
      <c r="L326" s="9">
        <v>11938200</v>
      </c>
      <c r="M326" s="9">
        <v>12805961</v>
      </c>
      <c r="N326" s="9">
        <v>13274478</v>
      </c>
      <c r="O326" s="9">
        <v>13635220</v>
      </c>
      <c r="P326" s="9">
        <v>15281639</v>
      </c>
      <c r="Q326" s="4">
        <v>14913244</v>
      </c>
      <c r="R326" s="4">
        <v>15298111</v>
      </c>
      <c r="S326" s="4">
        <v>15595666</v>
      </c>
      <c r="T326" s="4">
        <v>16337124</v>
      </c>
      <c r="U326" s="4">
        <v>17310888</v>
      </c>
      <c r="V326" s="4">
        <v>19396615</v>
      </c>
      <c r="W326" s="4">
        <v>18285723</v>
      </c>
      <c r="X326" s="4">
        <v>19515870</v>
      </c>
      <c r="Y326" s="4">
        <v>19511032</v>
      </c>
      <c r="Z326" s="4">
        <v>19406556</v>
      </c>
      <c r="AA326" s="4">
        <v>20847659</v>
      </c>
      <c r="AB326" s="4">
        <v>20678002</v>
      </c>
      <c r="AC326" s="4">
        <v>20576933</v>
      </c>
      <c r="AD326" s="4">
        <v>20245078</v>
      </c>
      <c r="AE326" s="4">
        <v>21115902</v>
      </c>
      <c r="AF326" s="4">
        <v>23781165</v>
      </c>
      <c r="AG326" s="4">
        <v>24655747</v>
      </c>
      <c r="AH326" s="4">
        <v>28705087</v>
      </c>
      <c r="AI326" s="4">
        <v>25891904</v>
      </c>
      <c r="AJ326" s="4">
        <v>26801081</v>
      </c>
      <c r="AK326" s="4">
        <v>27821492</v>
      </c>
      <c r="AL326" s="4">
        <v>29831023</v>
      </c>
      <c r="AM326" s="4">
        <v>28087605</v>
      </c>
      <c r="AN326" s="4">
        <v>29476294</v>
      </c>
      <c r="AO326" s="4">
        <v>28544793</v>
      </c>
      <c r="AP326" s="4">
        <v>30329513</v>
      </c>
      <c r="AQ326" s="4">
        <v>31862229</v>
      </c>
      <c r="AR326" s="4">
        <v>31139043</v>
      </c>
      <c r="AS326" s="4">
        <v>30870280</v>
      </c>
      <c r="AT326" s="9">
        <f t="shared" ref="AT326" si="995">AT308/AT343</f>
        <v>31294845.244186047</v>
      </c>
      <c r="AU326" s="9">
        <f t="shared" ref="AU326:AV326" si="996">AU308/AU343</f>
        <v>31585592.534883723</v>
      </c>
      <c r="AV326" s="9">
        <f t="shared" si="996"/>
        <v>32199873.988372091</v>
      </c>
      <c r="AW326" s="9">
        <f t="shared" ref="AW326:AX340" si="997">AW308/AW343</f>
        <v>32289357.372093022</v>
      </c>
      <c r="AX326" s="9">
        <f t="shared" si="997"/>
        <v>33950909.08139535</v>
      </c>
      <c r="AY326" s="9">
        <f t="shared" ref="AY326" si="998">AY308/AY343</f>
        <v>34422966.011627905</v>
      </c>
    </row>
    <row r="327" spans="1:51">
      <c r="A327" s="20"/>
      <c r="C327" s="3" t="s">
        <v>58</v>
      </c>
      <c r="D327" s="4">
        <f t="shared" ref="D327:Y327" si="999">D309/D344</f>
        <v>22520200</v>
      </c>
      <c r="E327" s="4">
        <f t="shared" ref="E327" si="1000">E309/E344</f>
        <v>24888400</v>
      </c>
      <c r="F327" s="4">
        <f t="shared" si="999"/>
        <v>26610727.272727273</v>
      </c>
      <c r="G327" s="4">
        <f t="shared" si="999"/>
        <v>27854916.666666668</v>
      </c>
      <c r="H327" s="4">
        <f t="shared" si="999"/>
        <v>30601749.933333334</v>
      </c>
      <c r="I327" s="4">
        <f t="shared" si="999"/>
        <v>32904123.933333334</v>
      </c>
      <c r="J327" s="4">
        <f t="shared" si="999"/>
        <v>33410659.266666666</v>
      </c>
      <c r="K327" s="4">
        <f t="shared" si="999"/>
        <v>35515855.266666666</v>
      </c>
      <c r="L327" s="4">
        <f t="shared" si="999"/>
        <v>36359938.666666664</v>
      </c>
      <c r="M327" s="4">
        <f t="shared" si="999"/>
        <v>39441499.666666664</v>
      </c>
      <c r="N327" s="4">
        <f t="shared" si="999"/>
        <v>41249048</v>
      </c>
      <c r="O327" s="4">
        <f t="shared" si="999"/>
        <v>43179824.799999997</v>
      </c>
      <c r="P327" s="4">
        <f t="shared" si="999"/>
        <v>48211559</v>
      </c>
      <c r="Q327" s="4">
        <f t="shared" si="999"/>
        <v>46868798.06666667</v>
      </c>
      <c r="R327" s="4">
        <f t="shared" si="999"/>
        <v>47857779.399999999</v>
      </c>
      <c r="S327" s="4">
        <f t="shared" si="999"/>
        <v>49542405.533333331</v>
      </c>
      <c r="T327" s="4">
        <f t="shared" si="999"/>
        <v>51421937.133333333</v>
      </c>
      <c r="U327" s="4">
        <f t="shared" si="999"/>
        <v>55304495.533333331</v>
      </c>
      <c r="V327" s="4">
        <f t="shared" si="999"/>
        <v>57983470.799999997</v>
      </c>
      <c r="W327" s="4">
        <f t="shared" si="999"/>
        <v>56450107.200000003</v>
      </c>
      <c r="X327" s="4">
        <f t="shared" si="999"/>
        <v>61119721.666666664</v>
      </c>
      <c r="Y327" s="4">
        <f t="shared" si="999"/>
        <v>61590835.133333333</v>
      </c>
      <c r="Z327" s="4">
        <f t="shared" ref="Z327:AC327" si="1001">Z309/Z344</f>
        <v>59648604.25</v>
      </c>
      <c r="AA327" s="4">
        <f t="shared" si="1001"/>
        <v>64030226.6875</v>
      </c>
      <c r="AB327" s="4">
        <f t="shared" si="1001"/>
        <v>62672534.375</v>
      </c>
      <c r="AC327" s="4">
        <f t="shared" si="1001"/>
        <v>63658456.0625</v>
      </c>
      <c r="AD327" s="4">
        <f t="shared" ref="AD327:AH330" si="1002">AD309/AD344</f>
        <v>63604149.8125</v>
      </c>
      <c r="AE327" s="4">
        <f t="shared" si="1002"/>
        <v>65060503.375</v>
      </c>
      <c r="AF327" s="4">
        <f t="shared" si="1002"/>
        <v>66547551.8125</v>
      </c>
      <c r="AG327" s="4">
        <f t="shared" si="1002"/>
        <v>65792657.4375</v>
      </c>
      <c r="AH327" s="4">
        <f t="shared" si="1002"/>
        <v>76990140.294117644</v>
      </c>
      <c r="AI327" s="4">
        <f t="shared" ref="AI327:AQ327" si="1003">AI309/AI344</f>
        <v>67681062.722222224</v>
      </c>
      <c r="AJ327" s="4">
        <f t="shared" si="1003"/>
        <v>68682638.666666672</v>
      </c>
      <c r="AK327" s="4">
        <f t="shared" si="1003"/>
        <v>71604658.722222224</v>
      </c>
      <c r="AL327" s="4">
        <f t="shared" si="1003"/>
        <v>76228234.277777776</v>
      </c>
      <c r="AM327" s="4">
        <f t="shared" si="1003"/>
        <v>73400241.5</v>
      </c>
      <c r="AN327" s="4">
        <f t="shared" si="1003"/>
        <v>75715687.210526317</v>
      </c>
      <c r="AO327" s="4">
        <f t="shared" si="1003"/>
        <v>71372865.157894731</v>
      </c>
      <c r="AP327" s="4">
        <f t="shared" si="1003"/>
        <v>78273379.684210524</v>
      </c>
      <c r="AQ327" s="4">
        <f t="shared" si="1003"/>
        <v>82491383.842105269</v>
      </c>
      <c r="AR327" s="4">
        <f t="shared" ref="AR327:AT327" si="1004">AR309/AR344</f>
        <v>79224387.157894731</v>
      </c>
      <c r="AS327" s="4">
        <f t="shared" si="1004"/>
        <v>78153520.526315793</v>
      </c>
      <c r="AT327" s="9">
        <f t="shared" si="1004"/>
        <v>77446799.75</v>
      </c>
      <c r="AU327" s="9">
        <f t="shared" ref="AU327:AV327" si="1005">AU309/AU344</f>
        <v>77477779.049999997</v>
      </c>
      <c r="AV327" s="9">
        <f t="shared" si="1005"/>
        <v>78615420</v>
      </c>
      <c r="AW327" s="9">
        <f t="shared" si="997"/>
        <v>78658720.099999994</v>
      </c>
      <c r="AX327" s="9">
        <f t="shared" si="997"/>
        <v>83638356.75</v>
      </c>
      <c r="AY327" s="9">
        <f t="shared" ref="AY327" si="1006">AY309/AY344</f>
        <v>84898868.200000003</v>
      </c>
    </row>
    <row r="328" spans="1:51">
      <c r="A328" s="20"/>
      <c r="C328" s="3" t="s">
        <v>59</v>
      </c>
      <c r="D328" s="4">
        <f t="shared" ref="D328:Y328" si="1007">D310/D345</f>
        <v>6989277.777777778</v>
      </c>
      <c r="E328" s="4">
        <f t="shared" ref="E328" si="1008">E310/E345</f>
        <v>7816950</v>
      </c>
      <c r="F328" s="4">
        <f t="shared" si="1007"/>
        <v>9024222.222222222</v>
      </c>
      <c r="G328" s="4">
        <f t="shared" si="1007"/>
        <v>11666352.94117647</v>
      </c>
      <c r="H328" s="4">
        <f t="shared" si="1007"/>
        <v>12081048.214285715</v>
      </c>
      <c r="I328" s="4">
        <f t="shared" si="1007"/>
        <v>13925426.428571429</v>
      </c>
      <c r="J328" s="4">
        <f t="shared" si="1007"/>
        <v>14824105.785714285</v>
      </c>
      <c r="K328" s="4">
        <f t="shared" si="1007"/>
        <v>14867574.142857144</v>
      </c>
      <c r="L328" s="4">
        <f t="shared" si="1007"/>
        <v>15283184</v>
      </c>
      <c r="M328" s="4">
        <f t="shared" si="1007"/>
        <v>16825129.785714287</v>
      </c>
      <c r="N328" s="4">
        <f t="shared" si="1007"/>
        <v>16786165.142857142</v>
      </c>
      <c r="O328" s="4">
        <f t="shared" si="1007"/>
        <v>17200601.642857142</v>
      </c>
      <c r="P328" s="4">
        <f t="shared" si="1007"/>
        <v>19625305.285714287</v>
      </c>
      <c r="Q328" s="4">
        <f t="shared" si="1007"/>
        <v>19181535.642857142</v>
      </c>
      <c r="R328" s="4">
        <f t="shared" si="1007"/>
        <v>20321181.357142858</v>
      </c>
      <c r="S328" s="4">
        <f t="shared" si="1007"/>
        <v>19728962.142857142</v>
      </c>
      <c r="T328" s="4">
        <f t="shared" si="1007"/>
        <v>21857508.5</v>
      </c>
      <c r="U328" s="4">
        <f t="shared" si="1007"/>
        <v>22981795.285714287</v>
      </c>
      <c r="V328" s="4">
        <f t="shared" si="1007"/>
        <v>25511391.785714287</v>
      </c>
      <c r="W328" s="4">
        <f t="shared" si="1007"/>
        <v>24492442</v>
      </c>
      <c r="X328" s="4">
        <f t="shared" si="1007"/>
        <v>25071616.571428571</v>
      </c>
      <c r="Y328" s="4">
        <f t="shared" si="1007"/>
        <v>24171588.733333334</v>
      </c>
      <c r="Z328" s="4">
        <f t="shared" ref="Z328:AC328" si="1009">Z310/Z345</f>
        <v>22560623</v>
      </c>
      <c r="AA328" s="4">
        <f t="shared" si="1009"/>
        <v>25706018.933333334</v>
      </c>
      <c r="AB328" s="4">
        <f t="shared" si="1009"/>
        <v>25909159.333333332</v>
      </c>
      <c r="AC328" s="4">
        <f t="shared" si="1009"/>
        <v>25209327</v>
      </c>
      <c r="AD328" s="4">
        <f t="shared" si="1002"/>
        <v>25407185.533333335</v>
      </c>
      <c r="AE328" s="4">
        <f t="shared" si="1002"/>
        <v>26001039.466666665</v>
      </c>
      <c r="AF328" s="4">
        <f t="shared" si="1002"/>
        <v>24858147.684210528</v>
      </c>
      <c r="AG328" s="4">
        <f t="shared" si="1002"/>
        <v>26894941.315789472</v>
      </c>
      <c r="AH328" s="4">
        <f t="shared" si="1002"/>
        <v>29727612.166666668</v>
      </c>
      <c r="AI328" s="4">
        <f t="shared" ref="AI328" si="1010">AI310/AI345</f>
        <v>25530157.176470589</v>
      </c>
      <c r="AJ328" s="4">
        <f t="shared" ref="AJ328:AK328" si="1011">AJ310/AJ345</f>
        <v>26365421.294117648</v>
      </c>
      <c r="AK328" s="4">
        <f t="shared" si="1011"/>
        <v>27345593.117647059</v>
      </c>
      <c r="AL328" s="4">
        <f t="shared" ref="AL328:AM328" si="1012">AL310/AL345</f>
        <v>29587982.117647059</v>
      </c>
      <c r="AM328" s="4">
        <f t="shared" si="1012"/>
        <v>27292906.764705881</v>
      </c>
      <c r="AN328" s="4">
        <f t="shared" ref="AN328:AO328" si="1013">AN310/AN345</f>
        <v>28186047.0625</v>
      </c>
      <c r="AO328" s="4">
        <f t="shared" si="1013"/>
        <v>28044681.375</v>
      </c>
      <c r="AP328" s="4">
        <f t="shared" ref="AP328:AQ330" si="1014">AP310/AP345</f>
        <v>26780822.4375</v>
      </c>
      <c r="AQ328" s="4">
        <f t="shared" si="1014"/>
        <v>30136765.0625</v>
      </c>
      <c r="AR328" s="4">
        <f t="shared" ref="AR328:AT328" si="1015">AR310/AR345</f>
        <v>29837478.850000001</v>
      </c>
      <c r="AS328" s="4">
        <f t="shared" si="1015"/>
        <v>29583625.714285713</v>
      </c>
      <c r="AT328" s="9">
        <f t="shared" si="1015"/>
        <v>29525119.449999999</v>
      </c>
      <c r="AU328" s="9">
        <f t="shared" ref="AU328:AV328" si="1016">AU310/AU345</f>
        <v>30101161.149999999</v>
      </c>
      <c r="AV328" s="9">
        <f t="shared" si="1016"/>
        <v>30932256.75</v>
      </c>
      <c r="AW328" s="9">
        <f t="shared" si="997"/>
        <v>31284068.949999999</v>
      </c>
      <c r="AX328" s="9">
        <f t="shared" si="997"/>
        <v>32390200.25</v>
      </c>
      <c r="AY328" s="9">
        <f t="shared" ref="AY328" si="1017">AY310/AY345</f>
        <v>33143899.100000001</v>
      </c>
    </row>
    <row r="329" spans="1:51">
      <c r="A329" s="20"/>
      <c r="C329" s="3" t="s">
        <v>60</v>
      </c>
      <c r="D329" s="4">
        <f t="shared" ref="D329:Y329" si="1018">D311/D346</f>
        <v>3699137.9310344825</v>
      </c>
      <c r="E329" s="4">
        <f t="shared" ref="E329" si="1019">E311/E346</f>
        <v>4093555.5555555555</v>
      </c>
      <c r="F329" s="4">
        <f t="shared" si="1018"/>
        <v>4241370.3703703703</v>
      </c>
      <c r="G329" s="4">
        <f t="shared" si="1018"/>
        <v>5116518.5185185187</v>
      </c>
      <c r="H329" s="4">
        <f t="shared" si="1018"/>
        <v>5916408.9629629627</v>
      </c>
      <c r="I329" s="4">
        <f t="shared" si="1018"/>
        <v>6389700.7037037034</v>
      </c>
      <c r="J329" s="4">
        <f t="shared" si="1018"/>
        <v>6892759.4074074076</v>
      </c>
      <c r="K329" s="4">
        <f t="shared" si="1018"/>
        <v>7009132.0370370373</v>
      </c>
      <c r="L329" s="4">
        <f t="shared" si="1018"/>
        <v>6971660.7037037034</v>
      </c>
      <c r="M329" s="4">
        <f t="shared" si="1018"/>
        <v>7752567.888888889</v>
      </c>
      <c r="N329" s="4">
        <f t="shared" si="1018"/>
        <v>7957318.5185185187</v>
      </c>
      <c r="O329" s="4">
        <f t="shared" si="1018"/>
        <v>7989858.6428571427</v>
      </c>
      <c r="P329" s="4">
        <f t="shared" si="1018"/>
        <v>8690721.7857142854</v>
      </c>
      <c r="Q329" s="4">
        <f t="shared" si="1018"/>
        <v>8725996.9642857146</v>
      </c>
      <c r="R329" s="4">
        <f t="shared" si="1018"/>
        <v>8306429.6206896547</v>
      </c>
      <c r="S329" s="4">
        <f t="shared" si="1018"/>
        <v>9110443.931034483</v>
      </c>
      <c r="T329" s="4">
        <f t="shared" si="1018"/>
        <v>8958865.7096774187</v>
      </c>
      <c r="U329" s="4">
        <f t="shared" si="1018"/>
        <v>9305947.4838709682</v>
      </c>
      <c r="V329" s="4">
        <f t="shared" si="1018"/>
        <v>12672491.193548387</v>
      </c>
      <c r="W329" s="4">
        <f t="shared" si="1018"/>
        <v>10602049.161290323</v>
      </c>
      <c r="X329" s="4">
        <f t="shared" si="1018"/>
        <v>11424925.064516129</v>
      </c>
      <c r="Y329" s="4">
        <f t="shared" si="1018"/>
        <v>11235997.266666668</v>
      </c>
      <c r="Z329" s="4">
        <f t="shared" ref="Z329:AC329" si="1020">Z311/Z346</f>
        <v>11505865.448275862</v>
      </c>
      <c r="AA329" s="4">
        <f t="shared" si="1020"/>
        <v>11746376.241379309</v>
      </c>
      <c r="AB329" s="4">
        <f t="shared" si="1020"/>
        <v>12090458.827586208</v>
      </c>
      <c r="AC329" s="4">
        <f t="shared" si="1020"/>
        <v>11723484.655172413</v>
      </c>
      <c r="AD329" s="4">
        <f t="shared" si="1002"/>
        <v>10488809.482758621</v>
      </c>
      <c r="AE329" s="4">
        <f t="shared" si="1002"/>
        <v>11331382.448275862</v>
      </c>
      <c r="AF329" s="4">
        <f t="shared" si="1002"/>
        <v>13720192.115384616</v>
      </c>
      <c r="AG329" s="4">
        <f t="shared" si="1002"/>
        <v>15257312.923076924</v>
      </c>
      <c r="AH329" s="4">
        <f t="shared" si="1002"/>
        <v>16117706.115384616</v>
      </c>
      <c r="AI329" s="4">
        <f t="shared" ref="AI329" si="1021">AI311/AI346</f>
        <v>16198388.16</v>
      </c>
      <c r="AJ329" s="4">
        <f t="shared" ref="AJ329:AK329" si="1022">AJ311/AJ346</f>
        <v>16616457.560000001</v>
      </c>
      <c r="AK329" s="4">
        <f t="shared" si="1022"/>
        <v>17283545.68</v>
      </c>
      <c r="AL329" s="4">
        <f t="shared" ref="AL329:AM329" si="1023">AL311/AL346</f>
        <v>18668051.960000001</v>
      </c>
      <c r="AM329" s="4">
        <f t="shared" si="1023"/>
        <v>16952408.640000001</v>
      </c>
      <c r="AN329" s="4">
        <f t="shared" ref="AN329:AO329" si="1024">AN311/AN346</f>
        <v>16881184.653846152</v>
      </c>
      <c r="AO329" s="4">
        <f t="shared" si="1024"/>
        <v>17253500.5</v>
      </c>
      <c r="AP329" s="4">
        <f t="shared" si="1014"/>
        <v>18159811.5</v>
      </c>
      <c r="AQ329" s="4">
        <f t="shared" si="1014"/>
        <v>18133710.846153848</v>
      </c>
      <c r="AR329" s="4">
        <f t="shared" ref="AR329:AT329" si="1025">AR311/AR346</f>
        <v>16745142.428571429</v>
      </c>
      <c r="AS329" s="4">
        <f t="shared" si="1025"/>
        <v>16521360.699999999</v>
      </c>
      <c r="AT329" s="9">
        <f t="shared" si="1025"/>
        <v>16966758.263157893</v>
      </c>
      <c r="AU329" s="9">
        <f t="shared" ref="AU329:AV329" si="1026">AU311/AU346</f>
        <v>17357036.631578948</v>
      </c>
      <c r="AV329" s="9">
        <f t="shared" si="1026"/>
        <v>17706522.47368421</v>
      </c>
      <c r="AW329" s="9">
        <f t="shared" si="997"/>
        <v>17869716.789473683</v>
      </c>
      <c r="AX329" s="9">
        <f t="shared" si="997"/>
        <v>18536853.578947369</v>
      </c>
      <c r="AY329" s="9">
        <f t="shared" ref="AY329" si="1027">AY311/AY346</f>
        <v>19196708.388888888</v>
      </c>
    </row>
    <row r="330" spans="1:51">
      <c r="A330" s="20"/>
      <c r="C330" s="3" t="s">
        <v>61</v>
      </c>
      <c r="D330" s="4">
        <f t="shared" ref="D330:Y330" si="1028">D312/D347</f>
        <v>1745307.6923076923</v>
      </c>
      <c r="E330" s="4">
        <f t="shared" ref="E330" si="1029">E312/E347</f>
        <v>2088076.923076923</v>
      </c>
      <c r="F330" s="4">
        <f t="shared" si="1028"/>
        <v>2232032.2580645164</v>
      </c>
      <c r="G330" s="4">
        <f t="shared" si="1028"/>
        <v>2963935.4838709678</v>
      </c>
      <c r="H330" s="4">
        <f t="shared" si="1028"/>
        <v>3223903.25</v>
      </c>
      <c r="I330" s="4">
        <f t="shared" si="1028"/>
        <v>3171211.8378378376</v>
      </c>
      <c r="J330" s="4">
        <f t="shared" si="1028"/>
        <v>3822037.5945945946</v>
      </c>
      <c r="K330" s="4">
        <f t="shared" si="1028"/>
        <v>3987084.5945945946</v>
      </c>
      <c r="L330" s="4">
        <f t="shared" si="1028"/>
        <v>4396057.405405405</v>
      </c>
      <c r="M330" s="4">
        <f t="shared" si="1028"/>
        <v>4617246.897435897</v>
      </c>
      <c r="N330" s="4">
        <f t="shared" si="1028"/>
        <v>4935532.205128205</v>
      </c>
      <c r="O330" s="4">
        <f t="shared" si="1028"/>
        <v>4819055.3684210526</v>
      </c>
      <c r="P330" s="4">
        <f t="shared" si="1028"/>
        <v>5539153.8421052629</v>
      </c>
      <c r="Q330" s="4">
        <f t="shared" si="1028"/>
        <v>5285705.7894736845</v>
      </c>
      <c r="R330" s="4">
        <f t="shared" si="1028"/>
        <v>5930761.8684210526</v>
      </c>
      <c r="S330" s="4">
        <f t="shared" si="1028"/>
        <v>5877825.435897436</v>
      </c>
      <c r="T330" s="4">
        <f t="shared" si="1028"/>
        <v>6473135.1315789474</v>
      </c>
      <c r="U330" s="4">
        <f t="shared" si="1028"/>
        <v>6754476.7631578948</v>
      </c>
      <c r="V330" s="4">
        <f t="shared" si="1028"/>
        <v>7397617.3157894732</v>
      </c>
      <c r="W330" s="4">
        <f t="shared" si="1028"/>
        <v>7202409.4473684207</v>
      </c>
      <c r="X330" s="4">
        <f t="shared" si="1028"/>
        <v>7646950.7894736845</v>
      </c>
      <c r="Y330" s="4">
        <f t="shared" si="1028"/>
        <v>7593811.8421052629</v>
      </c>
      <c r="Z330" s="4">
        <f t="shared" ref="Z330:AC330" si="1030">Z312/Z347</f>
        <v>7558766.871794872</v>
      </c>
      <c r="AA330" s="4">
        <f t="shared" si="1030"/>
        <v>8030755</v>
      </c>
      <c r="AB330" s="4">
        <f t="shared" si="1030"/>
        <v>7823100.307692308</v>
      </c>
      <c r="AC330" s="4">
        <f t="shared" si="1030"/>
        <v>7704106.461538462</v>
      </c>
      <c r="AD330" s="4">
        <f t="shared" si="1002"/>
        <v>7725976.205128205</v>
      </c>
      <c r="AE330" s="4">
        <f t="shared" si="1002"/>
        <v>7801318.9729729732</v>
      </c>
      <c r="AF330" s="4">
        <f t="shared" si="1002"/>
        <v>6737336.615384615</v>
      </c>
      <c r="AG330" s="4">
        <f t="shared" si="1002"/>
        <v>7102826.423076923</v>
      </c>
      <c r="AH330" s="4">
        <f t="shared" si="1002"/>
        <v>9013569.2307692301</v>
      </c>
      <c r="AI330" s="4">
        <f t="shared" ref="AI330" si="1031">AI312/AI347</f>
        <v>7235710.4074074076</v>
      </c>
      <c r="AJ330" s="4">
        <f t="shared" ref="AJ330:AK330" si="1032">AJ312/AJ347</f>
        <v>7883919.076923077</v>
      </c>
      <c r="AK330" s="4">
        <f t="shared" si="1032"/>
        <v>7953874.923076923</v>
      </c>
      <c r="AL330" s="4">
        <f t="shared" ref="AL330:AM330" si="1033">AL312/AL347</f>
        <v>8602412.7307692301</v>
      </c>
      <c r="AM330" s="4">
        <f t="shared" si="1033"/>
        <v>7943849.115384615</v>
      </c>
      <c r="AN330" s="4">
        <f t="shared" ref="AN330:AO330" si="1034">AN312/AN347</f>
        <v>8259025.4800000004</v>
      </c>
      <c r="AO330" s="4">
        <f t="shared" si="1034"/>
        <v>8058474.1200000001</v>
      </c>
      <c r="AP330" s="4">
        <f t="shared" si="1014"/>
        <v>8819826</v>
      </c>
      <c r="AQ330" s="4">
        <f t="shared" si="1014"/>
        <v>8766025.9199999999</v>
      </c>
      <c r="AR330" s="4">
        <f t="shared" ref="AR330:AT330" si="1035">AR312/AR347</f>
        <v>8626799.884615384</v>
      </c>
      <c r="AS330" s="4">
        <f t="shared" si="1035"/>
        <v>8393995.038461538</v>
      </c>
      <c r="AT330" s="9">
        <f t="shared" si="1035"/>
        <v>8501848.1481481474</v>
      </c>
      <c r="AU330" s="9">
        <f t="shared" ref="AU330:AV330" si="1036">AU312/AU347</f>
        <v>8703646.5925925933</v>
      </c>
      <c r="AV330" s="9">
        <f t="shared" si="1036"/>
        <v>8955988.9259259254</v>
      </c>
      <c r="AW330" s="9">
        <f t="shared" si="997"/>
        <v>8833493.8518518526</v>
      </c>
      <c r="AX330" s="9">
        <f t="shared" si="997"/>
        <v>9148400.8518518526</v>
      </c>
      <c r="AY330" s="9">
        <f t="shared" ref="AY330" si="1037">AY312/AY347</f>
        <v>9070677.8571428563</v>
      </c>
    </row>
    <row r="331" spans="1:51">
      <c r="A331" s="20"/>
      <c r="C331" s="3" t="s">
        <v>75</v>
      </c>
      <c r="D331" s="9">
        <v>1549000</v>
      </c>
      <c r="E331" s="9">
        <v>1709000</v>
      </c>
      <c r="F331" s="9">
        <v>1922000</v>
      </c>
      <c r="G331" s="9">
        <v>2121000</v>
      </c>
      <c r="H331" s="9">
        <v>2400184</v>
      </c>
      <c r="I331" s="9">
        <v>3140176</v>
      </c>
      <c r="J331" s="9">
        <v>2579338</v>
      </c>
      <c r="K331" s="9">
        <v>2654458</v>
      </c>
      <c r="L331" s="9">
        <v>2710123</v>
      </c>
      <c r="M331" s="9">
        <v>3209935</v>
      </c>
      <c r="N331" s="9">
        <v>3178844</v>
      </c>
      <c r="O331" s="9">
        <v>3718639</v>
      </c>
      <c r="P331" s="9">
        <v>3427172</v>
      </c>
      <c r="Q331" s="4">
        <v>3378212</v>
      </c>
      <c r="R331" s="4">
        <v>4926464</v>
      </c>
      <c r="S331" s="4">
        <v>3403770</v>
      </c>
      <c r="T331" s="4">
        <v>4403042</v>
      </c>
      <c r="U331" s="4">
        <v>3483601</v>
      </c>
      <c r="V331" s="4">
        <v>3869939</v>
      </c>
      <c r="W331" s="4">
        <v>3961691</v>
      </c>
      <c r="X331" s="4">
        <v>4295618</v>
      </c>
      <c r="Y331" s="4">
        <v>4001853</v>
      </c>
      <c r="Z331" s="4">
        <v>4163954</v>
      </c>
      <c r="AA331" s="4">
        <v>6513356</v>
      </c>
      <c r="AB331" s="4">
        <v>4066284</v>
      </c>
      <c r="AC331" s="4">
        <v>3685980</v>
      </c>
      <c r="AD331" s="4">
        <v>3825011</v>
      </c>
      <c r="AE331" s="4">
        <v>3719405</v>
      </c>
      <c r="AF331" s="4">
        <v>3729700</v>
      </c>
      <c r="AG331" s="4">
        <v>3965590</v>
      </c>
      <c r="AH331" s="4">
        <v>3795626</v>
      </c>
      <c r="AI331" s="4">
        <v>3934925</v>
      </c>
      <c r="AJ331" s="4">
        <v>4017781</v>
      </c>
      <c r="AK331" s="4">
        <v>4672243</v>
      </c>
      <c r="AL331" s="4">
        <v>4578956</v>
      </c>
      <c r="AM331" s="4">
        <v>4550193</v>
      </c>
      <c r="AN331" s="4">
        <v>4722196</v>
      </c>
      <c r="AO331" s="4">
        <v>4601547</v>
      </c>
      <c r="AP331" s="4">
        <v>4155212</v>
      </c>
      <c r="AQ331" s="4">
        <v>4392765</v>
      </c>
      <c r="AR331" s="4">
        <v>4523230</v>
      </c>
      <c r="AS331" s="4">
        <v>4608060</v>
      </c>
      <c r="AT331" s="9">
        <f t="shared" ref="AT331" si="1038">AT313/AT348</f>
        <v>4538262.8804347822</v>
      </c>
      <c r="AU331" s="9">
        <f t="shared" ref="AU331:AV331" si="1039">AU313/AU348</f>
        <v>4599323.5268817209</v>
      </c>
      <c r="AV331" s="9">
        <f t="shared" si="1039"/>
        <v>4641019.0957446806</v>
      </c>
      <c r="AW331" s="9">
        <f t="shared" si="997"/>
        <v>3837843.9897959186</v>
      </c>
      <c r="AX331" s="9">
        <f t="shared" si="997"/>
        <v>4582700.3939393936</v>
      </c>
      <c r="AY331" s="9">
        <f t="shared" ref="AY331" si="1040">AY313/AY348</f>
        <v>10957113.35</v>
      </c>
    </row>
    <row r="332" spans="1:51">
      <c r="A332" s="20"/>
      <c r="C332" s="3" t="s">
        <v>62</v>
      </c>
      <c r="D332" s="4">
        <f t="shared" ref="D332:Y332" si="1041">D314/D349</f>
        <v>7646000</v>
      </c>
      <c r="E332" s="4">
        <f t="shared" ref="E332" si="1042">E314/E349</f>
        <v>8178000</v>
      </c>
      <c r="F332" s="4">
        <f t="shared" si="1041"/>
        <v>8894000</v>
      </c>
      <c r="G332" s="4">
        <f t="shared" si="1041"/>
        <v>9617000</v>
      </c>
      <c r="H332" s="4">
        <f t="shared" si="1041"/>
        <v>10171887</v>
      </c>
      <c r="I332" s="4">
        <f t="shared" si="1041"/>
        <v>21162648</v>
      </c>
      <c r="J332" s="4">
        <f t="shared" si="1041"/>
        <v>12718000</v>
      </c>
      <c r="K332" s="4">
        <f t="shared" si="1041"/>
        <v>12534000</v>
      </c>
      <c r="L332" s="4">
        <f t="shared" si="1041"/>
        <v>12941000</v>
      </c>
      <c r="M332" s="4">
        <f t="shared" si="1041"/>
        <v>13262000</v>
      </c>
      <c r="N332" s="4">
        <f t="shared" si="1041"/>
        <v>15429000</v>
      </c>
      <c r="O332" s="4">
        <f t="shared" si="1041"/>
        <v>14695000</v>
      </c>
      <c r="P332" s="4">
        <f t="shared" si="1041"/>
        <v>14877000</v>
      </c>
      <c r="Q332" s="4">
        <f t="shared" si="1041"/>
        <v>16552000</v>
      </c>
      <c r="R332" s="4">
        <f t="shared" si="1041"/>
        <v>16244000</v>
      </c>
      <c r="S332" s="4">
        <f t="shared" si="1041"/>
        <v>18025346</v>
      </c>
      <c r="T332" s="4">
        <f t="shared" si="1041"/>
        <v>19819782</v>
      </c>
      <c r="U332" s="4">
        <f t="shared" si="1041"/>
        <v>22755443</v>
      </c>
      <c r="V332" s="4">
        <f t="shared" si="1041"/>
        <v>35856754</v>
      </c>
      <c r="W332" s="4">
        <f t="shared" si="1041"/>
        <v>38538500</v>
      </c>
      <c r="X332" s="4">
        <f t="shared" si="1041"/>
        <v>45596213</v>
      </c>
      <c r="Y332" s="4">
        <f t="shared" si="1041"/>
        <v>47780570</v>
      </c>
      <c r="Z332" s="4">
        <f t="shared" ref="Z332:AC332" si="1043">Z314/Z349</f>
        <v>49308045</v>
      </c>
      <c r="AA332" s="4">
        <f t="shared" si="1043"/>
        <v>51854612</v>
      </c>
      <c r="AB332" s="4">
        <f t="shared" si="1043"/>
        <v>52149830</v>
      </c>
      <c r="AC332" s="4">
        <f t="shared" si="1043"/>
        <v>52299995</v>
      </c>
      <c r="AD332" s="4">
        <f t="shared" ref="AD332:AH335" si="1044">AD314/AD349</f>
        <v>50433130</v>
      </c>
      <c r="AE332" s="4">
        <f t="shared" si="1044"/>
        <v>47264415</v>
      </c>
      <c r="AF332" s="4">
        <f t="shared" si="1044"/>
        <v>47046961</v>
      </c>
      <c r="AG332" s="4">
        <f t="shared" si="1044"/>
        <v>47046961</v>
      </c>
      <c r="AH332" s="4">
        <f t="shared" si="1044"/>
        <v>46006421</v>
      </c>
      <c r="AI332" s="4">
        <f t="shared" ref="AI332:AQ332" si="1045">AI314/AI349</f>
        <v>43349660</v>
      </c>
      <c r="AJ332" s="4">
        <f t="shared" si="1045"/>
        <v>44517652</v>
      </c>
      <c r="AK332" s="4">
        <f t="shared" si="1045"/>
        <v>46416154</v>
      </c>
      <c r="AL332" s="4">
        <f t="shared" si="1045"/>
        <v>46947787</v>
      </c>
      <c r="AM332" s="4">
        <f t="shared" si="1045"/>
        <v>46058889</v>
      </c>
      <c r="AN332" s="4">
        <f t="shared" si="1045"/>
        <v>49996281</v>
      </c>
      <c r="AO332" s="4">
        <f t="shared" si="1045"/>
        <v>32878155.5</v>
      </c>
      <c r="AP332" s="4">
        <f t="shared" si="1045"/>
        <v>33696072</v>
      </c>
      <c r="AQ332" s="4">
        <f t="shared" si="1045"/>
        <v>35116118.5</v>
      </c>
      <c r="AR332" s="4">
        <f t="shared" ref="AR332:AT332" si="1046">AR314/AR349</f>
        <v>52479473</v>
      </c>
      <c r="AS332" s="4">
        <f t="shared" si="1046"/>
        <v>53298833</v>
      </c>
      <c r="AT332" s="9">
        <f t="shared" si="1046"/>
        <v>32135048</v>
      </c>
      <c r="AU332" s="9">
        <f t="shared" ref="AU332:AV332" si="1047">AU314/AU349</f>
        <v>56741613</v>
      </c>
      <c r="AV332" s="9">
        <f t="shared" si="1047"/>
        <v>58956245</v>
      </c>
      <c r="AW332" s="9">
        <f t="shared" si="997"/>
        <v>58870503</v>
      </c>
      <c r="AX332" s="9">
        <f t="shared" si="997"/>
        <v>80467492</v>
      </c>
      <c r="AY332" s="9">
        <f t="shared" ref="AY332" si="1048">AY314/AY349</f>
        <v>45518049</v>
      </c>
    </row>
    <row r="333" spans="1:51">
      <c r="A333" s="20"/>
      <c r="C333" s="3" t="s">
        <v>64</v>
      </c>
      <c r="D333" s="4">
        <f t="shared" ref="D333:Y333" si="1049">D315/D350</f>
        <v>4512000</v>
      </c>
      <c r="E333" s="4">
        <f t="shared" ref="E333" si="1050">E315/E350</f>
        <v>5366000</v>
      </c>
      <c r="F333" s="4">
        <f t="shared" si="1049"/>
        <v>5696000</v>
      </c>
      <c r="G333" s="4">
        <f t="shared" si="1049"/>
        <v>6011000</v>
      </c>
      <c r="H333" s="4">
        <f t="shared" si="1049"/>
        <v>6370199</v>
      </c>
      <c r="I333" s="4">
        <f t="shared" si="1049"/>
        <v>6889067</v>
      </c>
      <c r="J333" s="4">
        <f t="shared" si="1049"/>
        <v>7907302</v>
      </c>
      <c r="K333" s="4">
        <f t="shared" si="1049"/>
        <v>7750403.5</v>
      </c>
      <c r="L333" s="4">
        <f t="shared" si="1049"/>
        <v>8012633.5</v>
      </c>
      <c r="M333" s="4">
        <f t="shared" si="1049"/>
        <v>8957500</v>
      </c>
      <c r="N333" s="4">
        <f t="shared" si="1049"/>
        <v>8905219</v>
      </c>
      <c r="O333" s="4">
        <f t="shared" si="1049"/>
        <v>15693838</v>
      </c>
      <c r="P333" s="4">
        <f t="shared" si="1049"/>
        <v>9644976.5</v>
      </c>
      <c r="Q333" s="4">
        <f t="shared" si="1049"/>
        <v>9422761.5</v>
      </c>
      <c r="R333" s="4">
        <f t="shared" si="1049"/>
        <v>10285102</v>
      </c>
      <c r="S333" s="4">
        <f t="shared" si="1049"/>
        <v>12722953</v>
      </c>
      <c r="T333" s="4">
        <f t="shared" si="1049"/>
        <v>14398810.5</v>
      </c>
      <c r="U333" s="4">
        <f t="shared" si="1049"/>
        <v>14903248</v>
      </c>
      <c r="V333" s="4">
        <f t="shared" si="1049"/>
        <v>15270329</v>
      </c>
      <c r="W333" s="4">
        <f t="shared" si="1049"/>
        <v>14988422.333333334</v>
      </c>
      <c r="X333" s="4">
        <f t="shared" si="1049"/>
        <v>13646591.666666666</v>
      </c>
      <c r="Y333" s="4">
        <f t="shared" si="1049"/>
        <v>20576447</v>
      </c>
      <c r="Z333" s="4">
        <f t="shared" ref="Z333:AC333" si="1051">Z315/Z350</f>
        <v>10635182</v>
      </c>
      <c r="AA333" s="4">
        <f t="shared" si="1051"/>
        <v>20570811.5</v>
      </c>
      <c r="AB333" s="4">
        <f t="shared" si="1051"/>
        <v>10864967.666666666</v>
      </c>
      <c r="AC333" s="4">
        <f t="shared" si="1051"/>
        <v>10264652.6</v>
      </c>
      <c r="AD333" s="4">
        <f t="shared" si="1044"/>
        <v>10586528.4</v>
      </c>
      <c r="AE333" s="4">
        <f t="shared" si="1044"/>
        <v>10345307.199999999</v>
      </c>
      <c r="AF333" s="4">
        <f t="shared" si="1044"/>
        <v>10085955.666666666</v>
      </c>
      <c r="AG333" s="4">
        <f t="shared" si="1044"/>
        <v>9417321.8000000007</v>
      </c>
      <c r="AH333" s="4">
        <f t="shared" si="1044"/>
        <v>10281008.6</v>
      </c>
      <c r="AI333" s="4">
        <f t="shared" ref="AI333" si="1052">AI315/AI350</f>
        <v>10773736.6</v>
      </c>
      <c r="AJ333" s="4">
        <f t="shared" ref="AJ333:AK333" si="1053">AJ315/AJ350</f>
        <v>10400186.800000001</v>
      </c>
      <c r="AK333" s="4">
        <f t="shared" si="1053"/>
        <v>13099040.166666666</v>
      </c>
      <c r="AL333" s="4">
        <f t="shared" ref="AL333:AM333" si="1054">AL315/AL350</f>
        <v>13161210.5</v>
      </c>
      <c r="AM333" s="4">
        <f t="shared" si="1054"/>
        <v>13210941.5</v>
      </c>
      <c r="AN333" s="4">
        <f t="shared" ref="AN333:AO333" si="1055">AN315/AN350</f>
        <v>13942500.5</v>
      </c>
      <c r="AO333" s="4">
        <f t="shared" si="1055"/>
        <v>12397576</v>
      </c>
      <c r="AP333" s="4">
        <f t="shared" ref="AP333:AQ335" si="1056">AP315/AP350</f>
        <v>13216872</v>
      </c>
      <c r="AQ333" s="4">
        <f t="shared" si="1056"/>
        <v>13908105.6</v>
      </c>
      <c r="AR333" s="4">
        <f t="shared" ref="AR333:AT333" si="1057">AR315/AR350</f>
        <v>12855286.857142856</v>
      </c>
      <c r="AS333" s="4">
        <f t="shared" si="1057"/>
        <v>13522811.428571429</v>
      </c>
      <c r="AT333" s="9">
        <f t="shared" si="1057"/>
        <v>13693583.666666666</v>
      </c>
      <c r="AU333" s="9">
        <f t="shared" ref="AU333:AV333" si="1058">AU315/AU350</f>
        <v>15458832.111111112</v>
      </c>
      <c r="AV333" s="9">
        <f t="shared" si="1058"/>
        <v>14555547.6</v>
      </c>
      <c r="AW333" s="9">
        <f t="shared" si="997"/>
        <v>11324203</v>
      </c>
      <c r="AX333" s="9">
        <f t="shared" si="997"/>
        <v>17112780.800000001</v>
      </c>
      <c r="AY333" s="9">
        <f t="shared" ref="AY333" si="1059">AY315/AY350</f>
        <v>17847027.800000001</v>
      </c>
    </row>
    <row r="334" spans="1:51">
      <c r="A334" s="20"/>
      <c r="C334" s="3" t="s">
        <v>65</v>
      </c>
      <c r="D334" s="4">
        <f t="shared" ref="D334:Y334" si="1060">D316/D351</f>
        <v>1490153.8461538462</v>
      </c>
      <c r="E334" s="4">
        <f t="shared" ref="E334" si="1061">E316/E351</f>
        <v>1568692.3076923077</v>
      </c>
      <c r="F334" s="4">
        <f t="shared" si="1060"/>
        <v>1706923.076923077</v>
      </c>
      <c r="G334" s="4">
        <f t="shared" si="1060"/>
        <v>1751692.3076923077</v>
      </c>
      <c r="H334" s="4">
        <f t="shared" si="1060"/>
        <v>1855238.7142857143</v>
      </c>
      <c r="I334" s="4">
        <f t="shared" si="1060"/>
        <v>2686970.5</v>
      </c>
      <c r="J334" s="4">
        <f t="shared" si="1060"/>
        <v>1619074.4615384615</v>
      </c>
      <c r="K334" s="4">
        <f t="shared" si="1060"/>
        <v>1729582.7692307692</v>
      </c>
      <c r="L334" s="4">
        <f t="shared" si="1060"/>
        <v>1813446.6923076923</v>
      </c>
      <c r="M334" s="4">
        <f t="shared" si="1060"/>
        <v>2384886.076923077</v>
      </c>
      <c r="N334" s="4">
        <f t="shared" si="1060"/>
        <v>2422093.6923076925</v>
      </c>
      <c r="O334" s="4">
        <f t="shared" si="1060"/>
        <v>3049587.230769231</v>
      </c>
      <c r="P334" s="4">
        <f t="shared" si="1060"/>
        <v>2470677.3846153845</v>
      </c>
      <c r="Q334" s="4">
        <f t="shared" si="1060"/>
        <v>2400321.0714285714</v>
      </c>
      <c r="R334" s="4">
        <f t="shared" si="1060"/>
        <v>3594504.5333333332</v>
      </c>
      <c r="S334" s="4">
        <f t="shared" si="1060"/>
        <v>2918890.2</v>
      </c>
      <c r="T334" s="4">
        <f t="shared" si="1060"/>
        <v>2827198.8125</v>
      </c>
      <c r="U334" s="4">
        <f t="shared" si="1060"/>
        <v>3228494.4210526315</v>
      </c>
      <c r="V334" s="4">
        <f t="shared" si="1060"/>
        <v>3289903.05</v>
      </c>
      <c r="W334" s="4">
        <f t="shared" si="1060"/>
        <v>3099650.25</v>
      </c>
      <c r="X334" s="4">
        <f t="shared" si="1060"/>
        <v>3516100.4</v>
      </c>
      <c r="Y334" s="4">
        <f t="shared" si="1060"/>
        <v>2711664.75</v>
      </c>
      <c r="Z334" s="4">
        <f t="shared" ref="Z334:AC334" si="1062">Z316/Z351</f>
        <v>3383214.0476190476</v>
      </c>
      <c r="AA334" s="4">
        <f t="shared" si="1062"/>
        <v>4902433.916666667</v>
      </c>
      <c r="AB334" s="4">
        <f t="shared" si="1062"/>
        <v>3800846.7083333335</v>
      </c>
      <c r="AC334" s="4">
        <f t="shared" si="1062"/>
        <v>3734628.5384615385</v>
      </c>
      <c r="AD334" s="4">
        <f t="shared" si="1044"/>
        <v>4158527.923076923</v>
      </c>
      <c r="AE334" s="4">
        <f t="shared" si="1044"/>
        <v>4027700.3571428573</v>
      </c>
      <c r="AF334" s="4">
        <f t="shared" si="1044"/>
        <v>3938558.2142857141</v>
      </c>
      <c r="AG334" s="4">
        <f t="shared" si="1044"/>
        <v>4276356.1379310349</v>
      </c>
      <c r="AH334" s="4">
        <f t="shared" si="1044"/>
        <v>4207790.4666666668</v>
      </c>
      <c r="AI334" s="4">
        <f t="shared" ref="AI334" si="1063">AI316/AI351</f>
        <v>4474801.0666666664</v>
      </c>
      <c r="AJ334" s="4">
        <f t="shared" ref="AJ334:AK334" si="1064">AJ316/AJ351</f>
        <v>4692050.4666666668</v>
      </c>
      <c r="AK334" s="4">
        <f t="shared" si="1064"/>
        <v>5482188.2580645159</v>
      </c>
      <c r="AL334" s="4">
        <f t="shared" ref="AL334:AM334" si="1065">AL316/AL351</f>
        <v>5198042.9393939395</v>
      </c>
      <c r="AM334" s="4">
        <f t="shared" si="1065"/>
        <v>5201930.5</v>
      </c>
      <c r="AN334" s="4">
        <f t="shared" ref="AN334:AO334" si="1066">AN316/AN351</f>
        <v>5241869.527777778</v>
      </c>
      <c r="AO334" s="4">
        <f t="shared" si="1066"/>
        <v>5248264.861111111</v>
      </c>
      <c r="AP334" s="4">
        <f t="shared" si="1056"/>
        <v>4468386.9142857147</v>
      </c>
      <c r="AQ334" s="4">
        <f t="shared" si="1056"/>
        <v>4610401.9428571425</v>
      </c>
      <c r="AR334" s="4">
        <f t="shared" ref="AR334:AT334" si="1067">AR316/AR351</f>
        <v>5127752.7058823528</v>
      </c>
      <c r="AS334" s="4">
        <f t="shared" si="1067"/>
        <v>5093051.2285714289</v>
      </c>
      <c r="AT334" s="9">
        <f t="shared" si="1067"/>
        <v>4043990.487179487</v>
      </c>
      <c r="AU334" s="9">
        <f t="shared" ref="AU334:AV334" si="1068">AU316/AU351</f>
        <v>3966580.076923077</v>
      </c>
      <c r="AV334" s="9">
        <f t="shared" si="1068"/>
        <v>3972457.0512820515</v>
      </c>
      <c r="AW334" s="9">
        <f t="shared" si="997"/>
        <v>3040976</v>
      </c>
      <c r="AX334" s="9">
        <f t="shared" si="997"/>
        <v>3088310.1025641025</v>
      </c>
      <c r="AY334" s="9">
        <f t="shared" ref="AY334" si="1069">AY316/AY351</f>
        <v>4266490.4749999996</v>
      </c>
    </row>
    <row r="335" spans="1:51">
      <c r="A335" s="20"/>
      <c r="C335" s="3" t="s">
        <v>66</v>
      </c>
      <c r="D335" s="4">
        <f t="shared" ref="D335:Y335" si="1070">D317/D352</f>
        <v>1088722.2222222222</v>
      </c>
      <c r="E335" s="4">
        <f t="shared" ref="E335" si="1071">E317/E352</f>
        <v>1247833.3333333333</v>
      </c>
      <c r="F335" s="4">
        <f t="shared" si="1070"/>
        <v>1479611.111111111</v>
      </c>
      <c r="G335" s="4">
        <f t="shared" si="1070"/>
        <v>1754833.3333333333</v>
      </c>
      <c r="H335" s="4">
        <f t="shared" si="1070"/>
        <v>2158274</v>
      </c>
      <c r="I335" s="4">
        <f t="shared" si="1070"/>
        <v>2283149.3333333335</v>
      </c>
      <c r="J335" s="4">
        <f t="shared" si="1070"/>
        <v>2117607.0555555555</v>
      </c>
      <c r="K335" s="4">
        <f t="shared" si="1070"/>
        <v>2207344.3333333335</v>
      </c>
      <c r="L335" s="4">
        <f t="shared" si="1070"/>
        <v>2200173.5</v>
      </c>
      <c r="M335" s="4">
        <f t="shared" si="1070"/>
        <v>2608737.277777778</v>
      </c>
      <c r="N335" s="4">
        <f t="shared" si="1070"/>
        <v>2485585.85</v>
      </c>
      <c r="O335" s="4">
        <f t="shared" si="1070"/>
        <v>2407183.9</v>
      </c>
      <c r="P335" s="4">
        <f t="shared" si="1070"/>
        <v>2881885.4761904762</v>
      </c>
      <c r="Q335" s="4">
        <f t="shared" si="1070"/>
        <v>2799591.4</v>
      </c>
      <c r="R335" s="4">
        <f t="shared" si="1070"/>
        <v>4828586.0952380951</v>
      </c>
      <c r="S335" s="4">
        <f t="shared" si="1070"/>
        <v>2166306.8571428573</v>
      </c>
      <c r="T335" s="4">
        <f t="shared" si="1070"/>
        <v>3939642.9090909092</v>
      </c>
      <c r="U335" s="4">
        <f t="shared" si="1070"/>
        <v>1930929.5416666667</v>
      </c>
      <c r="V335" s="4">
        <f t="shared" si="1070"/>
        <v>2142464.52</v>
      </c>
      <c r="W335" s="4">
        <f t="shared" si="1070"/>
        <v>2161113.5</v>
      </c>
      <c r="X335" s="4">
        <f t="shared" si="1070"/>
        <v>2441715.5862068967</v>
      </c>
      <c r="Y335" s="4">
        <f t="shared" si="1070"/>
        <v>1950376.4242424243</v>
      </c>
      <c r="Z335" s="4">
        <f t="shared" ref="Z335:AC335" si="1072">Z317/Z352</f>
        <v>2116198.3333333335</v>
      </c>
      <c r="AA335" s="4">
        <f t="shared" si="1072"/>
        <v>3912674.942857143</v>
      </c>
      <c r="AB335" s="4">
        <f t="shared" si="1072"/>
        <v>2053964.0487804879</v>
      </c>
      <c r="AC335" s="4">
        <f t="shared" si="1072"/>
        <v>1715212.2142857143</v>
      </c>
      <c r="AD335" s="4">
        <f t="shared" si="1044"/>
        <v>1753216.3953488371</v>
      </c>
      <c r="AE335" s="4">
        <f t="shared" si="1044"/>
        <v>1688291.4047619049</v>
      </c>
      <c r="AF335" s="4">
        <f t="shared" si="1044"/>
        <v>1651061.857142857</v>
      </c>
      <c r="AG335" s="4">
        <f t="shared" si="1044"/>
        <v>1877372.9473684211</v>
      </c>
      <c r="AH335" s="4">
        <f t="shared" si="1044"/>
        <v>1620559.5</v>
      </c>
      <c r="AI335" s="4">
        <f t="shared" ref="AI335" si="1073">AI317/AI352</f>
        <v>1689797.2749999999</v>
      </c>
      <c r="AJ335" s="4">
        <f t="shared" ref="AJ335:AK335" si="1074">AJ317/AJ352</f>
        <v>1642396.435897436</v>
      </c>
      <c r="AK335" s="4">
        <f t="shared" si="1074"/>
        <v>1661653.4102564103</v>
      </c>
      <c r="AL335" s="4">
        <f t="shared" ref="AL335:AM335" si="1075">AL317/AL352</f>
        <v>1721649.425</v>
      </c>
      <c r="AM335" s="4">
        <f t="shared" si="1075"/>
        <v>1659386.925</v>
      </c>
      <c r="AN335" s="4">
        <f t="shared" ref="AN335:AO335" si="1076">AN317/AN352</f>
        <v>1663114.0256410257</v>
      </c>
      <c r="AO335" s="4">
        <f t="shared" si="1076"/>
        <v>1631167.25</v>
      </c>
      <c r="AP335" s="4">
        <f t="shared" si="1056"/>
        <v>1533595.7045454546</v>
      </c>
      <c r="AQ335" s="4">
        <f t="shared" si="1056"/>
        <v>1741840.6590909092</v>
      </c>
      <c r="AR335" s="4">
        <f t="shared" ref="AR335:AT335" si="1077">AR317/AR352</f>
        <v>1765959.456521739</v>
      </c>
      <c r="AS335" s="4">
        <f t="shared" si="1077"/>
        <v>1823957.9782608696</v>
      </c>
      <c r="AT335" s="9">
        <f t="shared" si="1077"/>
        <v>1846316.1363636365</v>
      </c>
      <c r="AU335" s="9">
        <f t="shared" ref="AU335:AV335" si="1078">AU317/AU352</f>
        <v>1753849.1590909092</v>
      </c>
      <c r="AV335" s="9">
        <f t="shared" si="1078"/>
        <v>1745869.2954545454</v>
      </c>
      <c r="AW335" s="9">
        <f t="shared" si="997"/>
        <v>1606560.1458333333</v>
      </c>
      <c r="AX335" s="9">
        <f t="shared" si="997"/>
        <v>1666284.5918367347</v>
      </c>
      <c r="AY335" s="9">
        <f t="shared" ref="AY335" si="1079">AY317/AY352</f>
        <v>14307416.102040816</v>
      </c>
    </row>
    <row r="336" spans="1:51">
      <c r="A336" s="20"/>
      <c r="C336" s="3" t="s">
        <v>76</v>
      </c>
      <c r="D336" s="9">
        <v>1915000</v>
      </c>
      <c r="E336" s="9">
        <v>2507000</v>
      </c>
      <c r="F336" s="9">
        <v>2670000</v>
      </c>
      <c r="G336" s="9">
        <v>3224000</v>
      </c>
      <c r="H336" s="9">
        <v>3184199</v>
      </c>
      <c r="I336" s="9">
        <v>3361462</v>
      </c>
      <c r="J336" s="9">
        <v>3832714</v>
      </c>
      <c r="K336" s="9">
        <v>4200374</v>
      </c>
      <c r="L336" s="9">
        <v>4267457</v>
      </c>
      <c r="M336" s="9">
        <v>4836839</v>
      </c>
      <c r="N336" s="9">
        <v>5083302</v>
      </c>
      <c r="O336" s="9">
        <v>5135433</v>
      </c>
      <c r="P336" s="9">
        <v>5256345</v>
      </c>
      <c r="Q336" s="4">
        <v>5423921</v>
      </c>
      <c r="R336" s="4">
        <v>5723460</v>
      </c>
      <c r="S336" s="4">
        <v>5762492</v>
      </c>
      <c r="T336" s="4">
        <v>5956205</v>
      </c>
      <c r="U336" s="4">
        <v>6254458</v>
      </c>
      <c r="V336" s="4">
        <v>6326617</v>
      </c>
      <c r="W336" s="4">
        <v>6529721</v>
      </c>
      <c r="X336" s="4">
        <v>6195983</v>
      </c>
      <c r="Y336" s="4">
        <v>6242167</v>
      </c>
      <c r="Z336" s="4">
        <v>6277426</v>
      </c>
      <c r="AA336" s="4">
        <v>6209956</v>
      </c>
      <c r="AB336" s="4">
        <v>6081264</v>
      </c>
      <c r="AC336" s="4">
        <v>5868986</v>
      </c>
      <c r="AD336" s="4">
        <v>6090830</v>
      </c>
      <c r="AE336" s="4">
        <v>5801714</v>
      </c>
      <c r="AF336" s="4">
        <v>5724965</v>
      </c>
      <c r="AG336" s="4">
        <v>6058077</v>
      </c>
      <c r="AH336" s="4">
        <v>6052843</v>
      </c>
      <c r="AI336" s="4">
        <v>6370061</v>
      </c>
      <c r="AJ336" s="4">
        <v>6527111</v>
      </c>
      <c r="AK336" s="4">
        <v>6304298</v>
      </c>
      <c r="AL336" s="4">
        <v>6311721</v>
      </c>
      <c r="AM336" s="4">
        <v>6223098</v>
      </c>
      <c r="AN336" s="4">
        <v>6237932</v>
      </c>
      <c r="AO336" s="4">
        <v>6430075</v>
      </c>
      <c r="AP336" s="4">
        <v>6528091</v>
      </c>
      <c r="AQ336" s="4">
        <v>6560468</v>
      </c>
      <c r="AR336" s="4">
        <v>6883169</v>
      </c>
      <c r="AS336" s="4">
        <v>6666768</v>
      </c>
      <c r="AT336" s="9">
        <f t="shared" ref="AT336" si="1080">AT318/AT353</f>
        <v>6545006.6101973681</v>
      </c>
      <c r="AU336" s="9">
        <f t="shared" ref="AU336:AV336" si="1081">AU318/AU353</f>
        <v>6506608.3637846652</v>
      </c>
      <c r="AV336" s="9">
        <f t="shared" si="1081"/>
        <v>6517348.1497584544</v>
      </c>
      <c r="AW336" s="9">
        <f t="shared" si="997"/>
        <v>6727505.8367999997</v>
      </c>
      <c r="AX336" s="9">
        <f t="shared" si="997"/>
        <v>6446015.905750799</v>
      </c>
      <c r="AY336" s="9">
        <f t="shared" ref="AY336" si="1082">AY318/AY353</f>
        <v>10325368.461661343</v>
      </c>
    </row>
    <row r="337" spans="1:51">
      <c r="A337" s="20"/>
      <c r="C337" s="3" t="s">
        <v>68</v>
      </c>
      <c r="D337" s="4">
        <f t="shared" ref="D337:Y337" si="1083">D319/D354</f>
        <v>21033250</v>
      </c>
      <c r="E337" s="4">
        <f t="shared" ref="E337" si="1084">E319/E354</f>
        <v>25045000</v>
      </c>
      <c r="F337" s="4">
        <f t="shared" si="1083"/>
        <v>26040500</v>
      </c>
      <c r="G337" s="4">
        <f t="shared" si="1083"/>
        <v>41924750</v>
      </c>
      <c r="H337" s="4">
        <f t="shared" si="1083"/>
        <v>33692573.75</v>
      </c>
      <c r="I337" s="4">
        <f t="shared" si="1083"/>
        <v>25013759.5</v>
      </c>
      <c r="J337" s="4">
        <f t="shared" si="1083"/>
        <v>45689684.5</v>
      </c>
      <c r="K337" s="4">
        <f t="shared" si="1083"/>
        <v>47828947.75</v>
      </c>
      <c r="L337" s="4">
        <f t="shared" si="1083"/>
        <v>52065152.5</v>
      </c>
      <c r="M337" s="4">
        <f t="shared" si="1083"/>
        <v>55037977.5</v>
      </c>
      <c r="N337" s="4">
        <f t="shared" si="1083"/>
        <v>55593126.25</v>
      </c>
      <c r="O337" s="4">
        <f t="shared" si="1083"/>
        <v>53723380.600000001</v>
      </c>
      <c r="P337" s="4">
        <f t="shared" si="1083"/>
        <v>56846649.200000003</v>
      </c>
      <c r="Q337" s="4">
        <f t="shared" si="1083"/>
        <v>60887546.600000001</v>
      </c>
      <c r="R337" s="4">
        <f t="shared" si="1083"/>
        <v>64637331.166666664</v>
      </c>
      <c r="S337" s="4">
        <f t="shared" si="1083"/>
        <v>59338857.571428575</v>
      </c>
      <c r="T337" s="4">
        <f t="shared" si="1083"/>
        <v>56127305.428571425</v>
      </c>
      <c r="U337" s="4">
        <f t="shared" si="1083"/>
        <v>58879529.142857142</v>
      </c>
      <c r="V337" s="4">
        <f t="shared" si="1083"/>
        <v>56546881.125</v>
      </c>
      <c r="W337" s="4">
        <f t="shared" si="1083"/>
        <v>57834257.090909094</v>
      </c>
      <c r="X337" s="4">
        <f t="shared" si="1083"/>
        <v>54714253.888888888</v>
      </c>
      <c r="Y337" s="4">
        <f t="shared" si="1083"/>
        <v>45717496.384615384</v>
      </c>
      <c r="Z337" s="4">
        <f t="shared" ref="Z337:AC337" si="1085">Z319/Z354</f>
        <v>52919184.200000003</v>
      </c>
      <c r="AA337" s="4">
        <f t="shared" si="1085"/>
        <v>55165940.363636367</v>
      </c>
      <c r="AB337" s="4">
        <f t="shared" si="1085"/>
        <v>53006851.833333336</v>
      </c>
      <c r="AC337" s="4">
        <f t="shared" si="1085"/>
        <v>52344777.75</v>
      </c>
      <c r="AD337" s="4">
        <f t="shared" ref="AD337:AH340" si="1086">AD319/AD354</f>
        <v>51401216.538461536</v>
      </c>
      <c r="AE337" s="4">
        <f t="shared" si="1086"/>
        <v>48575188.357142858</v>
      </c>
      <c r="AF337" s="4">
        <f t="shared" si="1086"/>
        <v>50289081.466666669</v>
      </c>
      <c r="AG337" s="4">
        <f t="shared" si="1086"/>
        <v>40303093</v>
      </c>
      <c r="AH337" s="4">
        <f t="shared" si="1086"/>
        <v>40011197.952380955</v>
      </c>
      <c r="AI337" s="4">
        <f t="shared" ref="AI337:AQ337" si="1087">AI319/AI354</f>
        <v>43141017.260869563</v>
      </c>
      <c r="AJ337" s="4">
        <f t="shared" si="1087"/>
        <v>45950784.42307692</v>
      </c>
      <c r="AK337" s="4">
        <f t="shared" si="1087"/>
        <v>41402379.703703701</v>
      </c>
      <c r="AL337" s="4">
        <f t="shared" si="1087"/>
        <v>40190829</v>
      </c>
      <c r="AM337" s="4">
        <f t="shared" si="1087"/>
        <v>39360803.379310347</v>
      </c>
      <c r="AN337" s="4">
        <f t="shared" si="1087"/>
        <v>39316746.200000003</v>
      </c>
      <c r="AO337" s="4">
        <f t="shared" si="1087"/>
        <v>37824339.34375</v>
      </c>
      <c r="AP337" s="4">
        <f t="shared" si="1087"/>
        <v>35836424.5</v>
      </c>
      <c r="AQ337" s="4">
        <f t="shared" si="1087"/>
        <v>35105530.789473683</v>
      </c>
      <c r="AR337" s="4">
        <f t="shared" ref="AR337:AT337" si="1088">AR319/AR354</f>
        <v>36416126.649999999</v>
      </c>
      <c r="AS337" s="4">
        <f t="shared" si="1088"/>
        <v>33409787.09090909</v>
      </c>
      <c r="AT337" s="9">
        <f t="shared" si="1088"/>
        <v>33210537.883720931</v>
      </c>
      <c r="AU337" s="9">
        <f t="shared" ref="AU337:AV337" si="1089">AU319/AU354</f>
        <v>34064978.204545453</v>
      </c>
      <c r="AV337" s="9">
        <f t="shared" si="1089"/>
        <v>34159173.477272727</v>
      </c>
      <c r="AW337" s="9">
        <f t="shared" si="997"/>
        <v>34140339.130434781</v>
      </c>
      <c r="AX337" s="9">
        <f t="shared" si="997"/>
        <v>30465041.808510639</v>
      </c>
      <c r="AY337" s="9">
        <f t="shared" ref="AY337" si="1090">AY319/AY354</f>
        <v>34653736.792452827</v>
      </c>
    </row>
    <row r="338" spans="1:51">
      <c r="A338" s="20"/>
      <c r="C338" s="3" t="s">
        <v>69</v>
      </c>
      <c r="D338" s="4">
        <f t="shared" ref="D338:Y338" si="1091">D320/D355</f>
        <v>5361772.7272727275</v>
      </c>
      <c r="E338" s="4">
        <f t="shared" ref="E338" si="1092">E320/E355</f>
        <v>9007652.173913043</v>
      </c>
      <c r="F338" s="4">
        <f t="shared" si="1091"/>
        <v>8777521.7391304355</v>
      </c>
      <c r="G338" s="4">
        <f t="shared" si="1091"/>
        <v>9848083.333333334</v>
      </c>
      <c r="H338" s="4">
        <f t="shared" si="1091"/>
        <v>10441881.083333334</v>
      </c>
      <c r="I338" s="4">
        <f t="shared" si="1091"/>
        <v>10228989.08</v>
      </c>
      <c r="J338" s="4">
        <f t="shared" si="1091"/>
        <v>12471893.24</v>
      </c>
      <c r="K338" s="4">
        <f t="shared" si="1091"/>
        <v>13246283.68</v>
      </c>
      <c r="L338" s="4">
        <f t="shared" si="1091"/>
        <v>12673370.039999999</v>
      </c>
      <c r="M338" s="4">
        <f t="shared" si="1091"/>
        <v>14331467.4</v>
      </c>
      <c r="N338" s="4">
        <f t="shared" si="1091"/>
        <v>15997971.32</v>
      </c>
      <c r="O338" s="4">
        <f t="shared" si="1091"/>
        <v>14202644.035714285</v>
      </c>
      <c r="P338" s="4">
        <f t="shared" si="1091"/>
        <v>13640381.517241379</v>
      </c>
      <c r="Q338" s="4">
        <f t="shared" si="1091"/>
        <v>13326723.121212121</v>
      </c>
      <c r="R338" s="4">
        <f t="shared" si="1091"/>
        <v>12522018.666666666</v>
      </c>
      <c r="S338" s="4">
        <f t="shared" si="1091"/>
        <v>13044382.333333334</v>
      </c>
      <c r="T338" s="4">
        <f t="shared" si="1091"/>
        <v>14991446.138888888</v>
      </c>
      <c r="U338" s="4">
        <f t="shared" si="1091"/>
        <v>14928684.486486487</v>
      </c>
      <c r="V338" s="4">
        <f t="shared" si="1091"/>
        <v>15934629.594594594</v>
      </c>
      <c r="W338" s="4">
        <f t="shared" si="1091"/>
        <v>15252877.764705881</v>
      </c>
      <c r="X338" s="4">
        <f t="shared" si="1091"/>
        <v>16250133.361111112</v>
      </c>
      <c r="Y338" s="4">
        <f t="shared" si="1091"/>
        <v>15391367.142857144</v>
      </c>
      <c r="Z338" s="4">
        <f t="shared" ref="Z338:AC338" si="1093">Z320/Z355</f>
        <v>17165084.189189188</v>
      </c>
      <c r="AA338" s="4">
        <f t="shared" si="1093"/>
        <v>14722130.17948718</v>
      </c>
      <c r="AB338" s="4">
        <f t="shared" si="1093"/>
        <v>14322596.261904761</v>
      </c>
      <c r="AC338" s="4">
        <f t="shared" si="1093"/>
        <v>15001384.975609757</v>
      </c>
      <c r="AD338" s="4">
        <f t="shared" si="1086"/>
        <v>14416440.090909092</v>
      </c>
      <c r="AE338" s="4">
        <f t="shared" si="1086"/>
        <v>14554351.148936171</v>
      </c>
      <c r="AF338" s="4">
        <f t="shared" si="1086"/>
        <v>13915285.916666666</v>
      </c>
      <c r="AG338" s="4">
        <f t="shared" si="1086"/>
        <v>13856565.823529411</v>
      </c>
      <c r="AH338" s="4">
        <f t="shared" si="1086"/>
        <v>12000410.5</v>
      </c>
      <c r="AI338" s="4">
        <f t="shared" ref="AI338" si="1094">AI320/AI355</f>
        <v>12075157.15</v>
      </c>
      <c r="AJ338" s="4">
        <f t="shared" ref="AJ338:AK338" si="1095">AJ320/AJ355</f>
        <v>11351700.918032788</v>
      </c>
      <c r="AK338" s="4">
        <f t="shared" si="1095"/>
        <v>11203403.234375</v>
      </c>
      <c r="AL338" s="4">
        <f t="shared" ref="AL338:AM338" si="1096">AL320/AL355</f>
        <v>11539515.107692307</v>
      </c>
      <c r="AM338" s="4">
        <f t="shared" si="1096"/>
        <v>11049947.692307692</v>
      </c>
      <c r="AN338" s="4">
        <f t="shared" ref="AN338:AO338" si="1097">AN320/AN355</f>
        <v>10868281.485714287</v>
      </c>
      <c r="AO338" s="4">
        <f t="shared" si="1097"/>
        <v>11019093.617647059</v>
      </c>
      <c r="AP338" s="4">
        <f t="shared" ref="AP338:AQ340" si="1098">AP320/AP355</f>
        <v>12138434.859375</v>
      </c>
      <c r="AQ338" s="4">
        <f t="shared" si="1098"/>
        <v>13616758.484848484</v>
      </c>
      <c r="AR338" s="4">
        <f t="shared" ref="AR338:AT338" si="1099">AR320/AR355</f>
        <v>12934590.239436619</v>
      </c>
      <c r="AS338" s="4">
        <f t="shared" si="1099"/>
        <v>12382996.864864865</v>
      </c>
      <c r="AT338" s="9">
        <f t="shared" si="1099"/>
        <v>11888019.4125</v>
      </c>
      <c r="AU338" s="9">
        <f t="shared" ref="AU338:AV338" si="1100">AU320/AU355</f>
        <v>11100102.226190476</v>
      </c>
      <c r="AV338" s="9">
        <f t="shared" si="1100"/>
        <v>10784332.579545455</v>
      </c>
      <c r="AW338" s="9">
        <f t="shared" si="997"/>
        <v>11846900.379310345</v>
      </c>
      <c r="AX338" s="9">
        <f t="shared" si="997"/>
        <v>11532550.917647058</v>
      </c>
      <c r="AY338" s="9">
        <f t="shared" ref="AY338" si="1101">AY320/AY355</f>
        <v>8328735.3827160494</v>
      </c>
    </row>
    <row r="339" spans="1:51">
      <c r="A339" s="20"/>
      <c r="C339" s="3" t="s">
        <v>70</v>
      </c>
      <c r="D339" s="4">
        <f t="shared" ref="D339:Y339" si="1102">D321/D356</f>
        <v>2315884.6153846155</v>
      </c>
      <c r="E339" s="4">
        <f t="shared" ref="E339" si="1103">E321/E356</f>
        <v>2672582.2784810127</v>
      </c>
      <c r="F339" s="4">
        <f t="shared" si="1102"/>
        <v>2954475.6097560977</v>
      </c>
      <c r="G339" s="4">
        <f t="shared" si="1102"/>
        <v>3227963.4146341463</v>
      </c>
      <c r="H339" s="4">
        <f t="shared" si="1102"/>
        <v>3525475.9642857141</v>
      </c>
      <c r="I339" s="4">
        <f t="shared" si="1102"/>
        <v>4020524.3690476189</v>
      </c>
      <c r="J339" s="4">
        <f t="shared" si="1102"/>
        <v>4109228.3977272729</v>
      </c>
      <c r="K339" s="4">
        <f t="shared" si="1102"/>
        <v>4635005.4494382022</v>
      </c>
      <c r="L339" s="4">
        <f t="shared" si="1102"/>
        <v>4775194.4269662919</v>
      </c>
      <c r="M339" s="4">
        <f t="shared" si="1102"/>
        <v>5123752.0421052631</v>
      </c>
      <c r="N339" s="4">
        <f t="shared" si="1102"/>
        <v>5730918.768421053</v>
      </c>
      <c r="O339" s="4">
        <f t="shared" si="1102"/>
        <v>5019506.0784313725</v>
      </c>
      <c r="P339" s="4">
        <f t="shared" si="1102"/>
        <v>5424858.527777778</v>
      </c>
      <c r="Q339" s="4">
        <f t="shared" si="1102"/>
        <v>5295219.0535714282</v>
      </c>
      <c r="R339" s="4">
        <f t="shared" si="1102"/>
        <v>5258934.6126126125</v>
      </c>
      <c r="S339" s="4">
        <f t="shared" si="1102"/>
        <v>5632624.316239316</v>
      </c>
      <c r="T339" s="4">
        <f t="shared" si="1102"/>
        <v>5175332.6796875</v>
      </c>
      <c r="U339" s="4">
        <f t="shared" si="1102"/>
        <v>5662385.5307692308</v>
      </c>
      <c r="V339" s="4">
        <f t="shared" si="1102"/>
        <v>5879235.1094890507</v>
      </c>
      <c r="W339" s="4">
        <f t="shared" si="1102"/>
        <v>5541964.1310344832</v>
      </c>
      <c r="X339" s="4">
        <f t="shared" si="1102"/>
        <v>5569888.9078947371</v>
      </c>
      <c r="Y339" s="4">
        <f t="shared" si="1102"/>
        <v>5277155.032051282</v>
      </c>
      <c r="Z339" s="4">
        <f t="shared" ref="Z339:AC339" si="1104">Z321/Z356</f>
        <v>5663032.4417177914</v>
      </c>
      <c r="AA339" s="4">
        <f t="shared" si="1104"/>
        <v>5372259.2732558139</v>
      </c>
      <c r="AB339" s="4">
        <f t="shared" si="1104"/>
        <v>4930519.1176470593</v>
      </c>
      <c r="AC339" s="4">
        <f t="shared" si="1104"/>
        <v>4638717.6218905477</v>
      </c>
      <c r="AD339" s="4">
        <f t="shared" si="1086"/>
        <v>4716767.7625570772</v>
      </c>
      <c r="AE339" s="4">
        <f t="shared" si="1086"/>
        <v>4675025.5</v>
      </c>
      <c r="AF339" s="4">
        <f t="shared" si="1086"/>
        <v>4507225.055555556</v>
      </c>
      <c r="AG339" s="4">
        <f t="shared" si="1086"/>
        <v>4874632.8898305083</v>
      </c>
      <c r="AH339" s="4">
        <f t="shared" si="1086"/>
        <v>4955268.1591836736</v>
      </c>
      <c r="AI339" s="4">
        <f t="shared" ref="AI339" si="1105">AI321/AI356</f>
        <v>5249899.2645914396</v>
      </c>
      <c r="AJ339" s="4">
        <f t="shared" ref="AJ339:AK339" si="1106">AJ321/AJ356</f>
        <v>5241799.3207547171</v>
      </c>
      <c r="AK339" s="4">
        <f t="shared" si="1106"/>
        <v>5090713.9961977182</v>
      </c>
      <c r="AL339" s="4">
        <f t="shared" ref="AL339:AM339" si="1107">AL321/AL356</f>
        <v>4929856.8533834582</v>
      </c>
      <c r="AM339" s="4">
        <f t="shared" si="1107"/>
        <v>4774979.5756457569</v>
      </c>
      <c r="AN339" s="4">
        <f t="shared" ref="AN339:AO339" si="1108">AN321/AN356</f>
        <v>4783055.7843866171</v>
      </c>
      <c r="AO339" s="4">
        <f t="shared" si="1108"/>
        <v>5033588.9233716475</v>
      </c>
      <c r="AP339" s="4">
        <f t="shared" si="1098"/>
        <v>4878208.0110701108</v>
      </c>
      <c r="AQ339" s="4">
        <f t="shared" si="1098"/>
        <v>4471592.9370370368</v>
      </c>
      <c r="AR339" s="4">
        <f t="shared" ref="AR339:AT339" si="1109">AR321/AR356</f>
        <v>4488243.063432836</v>
      </c>
      <c r="AS339" s="4">
        <f t="shared" si="1109"/>
        <v>4237266.0451127822</v>
      </c>
      <c r="AT339" s="9">
        <f t="shared" si="1109"/>
        <v>4444019.1119402982</v>
      </c>
      <c r="AU339" s="9">
        <f t="shared" ref="AU339:AV339" si="1110">AU321/AU356</f>
        <v>4345999.3843283579</v>
      </c>
      <c r="AV339" s="9">
        <f t="shared" si="1110"/>
        <v>4469299.3420074349</v>
      </c>
      <c r="AW339" s="9">
        <f t="shared" si="997"/>
        <v>4416107.669090909</v>
      </c>
      <c r="AX339" s="9">
        <f t="shared" si="997"/>
        <v>4492408.769784173</v>
      </c>
      <c r="AY339" s="9">
        <f t="shared" ref="AY339" si="1111">AY321/AY356</f>
        <v>12865147.010830324</v>
      </c>
    </row>
    <row r="340" spans="1:51">
      <c r="A340" s="20"/>
      <c r="C340" s="3" t="s">
        <v>71</v>
      </c>
      <c r="D340" s="4">
        <f t="shared" ref="D340:Y340" si="1112">D322/D357</f>
        <v>993281.40703517583</v>
      </c>
      <c r="E340" s="4">
        <f t="shared" ref="E340" si="1113">E322/E357</f>
        <v>1268102.9411764706</v>
      </c>
      <c r="F340" s="4">
        <f t="shared" si="1112"/>
        <v>1390049.7512437811</v>
      </c>
      <c r="G340" s="4">
        <f t="shared" si="1112"/>
        <v>1668594.0594059406</v>
      </c>
      <c r="H340" s="4">
        <f t="shared" si="1112"/>
        <v>1607086.490291262</v>
      </c>
      <c r="I340" s="4">
        <f t="shared" si="1112"/>
        <v>1838847.2572815535</v>
      </c>
      <c r="J340" s="4">
        <f t="shared" si="1112"/>
        <v>1862952.5072463767</v>
      </c>
      <c r="K340" s="4">
        <f t="shared" si="1112"/>
        <v>2088142.326923077</v>
      </c>
      <c r="L340" s="4">
        <f t="shared" si="1112"/>
        <v>2141137.5333333332</v>
      </c>
      <c r="M340" s="4">
        <f t="shared" si="1112"/>
        <v>2588399.4975845409</v>
      </c>
      <c r="N340" s="4">
        <f t="shared" si="1112"/>
        <v>2528874.8571428573</v>
      </c>
      <c r="O340" s="4">
        <f t="shared" si="1112"/>
        <v>2792451.801932367</v>
      </c>
      <c r="P340" s="4">
        <f t="shared" si="1112"/>
        <v>2841052.469767442</v>
      </c>
      <c r="Q340" s="4">
        <f t="shared" si="1112"/>
        <v>2976742.8738317755</v>
      </c>
      <c r="R340" s="4">
        <f t="shared" si="1112"/>
        <v>3227254.5251141554</v>
      </c>
      <c r="S340" s="4">
        <f t="shared" si="1112"/>
        <v>2909336.1192660551</v>
      </c>
      <c r="T340" s="4">
        <f t="shared" si="1112"/>
        <v>3249563.3427230045</v>
      </c>
      <c r="U340" s="4">
        <f t="shared" si="1112"/>
        <v>3419492.2870370368</v>
      </c>
      <c r="V340" s="4">
        <f t="shared" si="1112"/>
        <v>3219619.6517857141</v>
      </c>
      <c r="W340" s="4">
        <f t="shared" si="1112"/>
        <v>3339887.2133333334</v>
      </c>
      <c r="X340" s="4">
        <f t="shared" si="1112"/>
        <v>3110686.8333333335</v>
      </c>
      <c r="Y340" s="4">
        <f t="shared" si="1112"/>
        <v>3233976.308370044</v>
      </c>
      <c r="Z340" s="4">
        <f t="shared" ref="Z340:AC340" si="1114">Z322/Z357</f>
        <v>2990610.012820513</v>
      </c>
      <c r="AA340" s="4">
        <f t="shared" si="1114"/>
        <v>3118863.0978723406</v>
      </c>
      <c r="AB340" s="4">
        <f t="shared" si="1114"/>
        <v>3165070.9663865548</v>
      </c>
      <c r="AC340" s="4">
        <f t="shared" si="1114"/>
        <v>3050657.3045267491</v>
      </c>
      <c r="AD340" s="4">
        <f t="shared" si="1086"/>
        <v>3317770.4661016949</v>
      </c>
      <c r="AE340" s="4">
        <f t="shared" si="1086"/>
        <v>2640329.4058577404</v>
      </c>
      <c r="AF340" s="4">
        <f t="shared" si="1086"/>
        <v>2580649.6842105263</v>
      </c>
      <c r="AG340" s="4">
        <f t="shared" si="1086"/>
        <v>2831849.5662650601</v>
      </c>
      <c r="AH340" s="4">
        <f t="shared" si="1086"/>
        <v>2857788.8421052634</v>
      </c>
      <c r="AI340" s="4">
        <f t="shared" ref="AI340" si="1115">AI322/AI357</f>
        <v>2680895.9877049183</v>
      </c>
      <c r="AJ340" s="4">
        <f t="shared" ref="AJ340:AK340" si="1116">AJ322/AJ357</f>
        <v>2432099.1673640166</v>
      </c>
      <c r="AK340" s="4">
        <f t="shared" si="1116"/>
        <v>2427679.2880658437</v>
      </c>
      <c r="AL340" s="4">
        <f t="shared" ref="AL340:AM340" si="1117">AL322/AL357</f>
        <v>2458809.5941422596</v>
      </c>
      <c r="AM340" s="4">
        <f t="shared" si="1117"/>
        <v>2500318.1181434598</v>
      </c>
      <c r="AN340" s="4">
        <f t="shared" ref="AN340:AO340" si="1118">AN322/AN357</f>
        <v>2399229.2987551866</v>
      </c>
      <c r="AO340" s="4">
        <f t="shared" si="1118"/>
        <v>2527670.3565573771</v>
      </c>
      <c r="AP340" s="4">
        <f t="shared" si="1098"/>
        <v>2430449.0550847459</v>
      </c>
      <c r="AQ340" s="4">
        <f t="shared" si="1098"/>
        <v>2326856.712446352</v>
      </c>
      <c r="AR340" s="4">
        <f t="shared" ref="AR340:AT340" si="1119">AR322/AR357</f>
        <v>2575927.9777777777</v>
      </c>
      <c r="AS340" s="4">
        <f t="shared" si="1119"/>
        <v>2410312.8303571427</v>
      </c>
      <c r="AT340" s="9">
        <f t="shared" si="1119"/>
        <v>1886047.0737327188</v>
      </c>
      <c r="AU340" s="9">
        <f t="shared" ref="AU340:AV340" si="1120">AU322/AU357</f>
        <v>1809011.3548387096</v>
      </c>
      <c r="AV340" s="9">
        <f t="shared" si="1120"/>
        <v>1786394.4454545456</v>
      </c>
      <c r="AW340" s="9">
        <f t="shared" si="997"/>
        <v>1793205.5576036866</v>
      </c>
      <c r="AX340" s="9">
        <f t="shared" si="997"/>
        <v>1732372.8055555555</v>
      </c>
      <c r="AY340" s="9">
        <f t="shared" ref="AY340" si="1121">AY322/AY357</f>
        <v>1808182.8790697674</v>
      </c>
    </row>
    <row r="341" spans="1:51">
      <c r="A341" s="20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AQ341" s="4"/>
      <c r="AR341" s="4"/>
      <c r="AS341" s="4"/>
      <c r="AT341" s="4"/>
      <c r="AU341" s="4"/>
      <c r="AV341" s="4"/>
      <c r="AW341" s="4"/>
      <c r="AX341" s="4"/>
      <c r="AY341" s="4"/>
    </row>
    <row r="342" spans="1:51">
      <c r="A342" s="11" t="s">
        <v>19</v>
      </c>
      <c r="B342" s="3" t="s">
        <v>18</v>
      </c>
      <c r="D342" s="4">
        <f t="shared" ref="D342:Q342" si="1122">SUBTOTAL(9,D343:D357)</f>
        <v>419</v>
      </c>
      <c r="E342" s="4">
        <v>426</v>
      </c>
      <c r="F342" s="4">
        <f t="shared" ref="F342" si="1123">SUBTOTAL(9,F343:F357)</f>
        <v>430</v>
      </c>
      <c r="G342" s="4">
        <f t="shared" ref="G342" si="1124">SUBTOTAL(9,G343:G357)</f>
        <v>432</v>
      </c>
      <c r="H342" s="4">
        <f t="shared" ref="H342" si="1125">SUBTOTAL(9,H343:H357)</f>
        <v>443</v>
      </c>
      <c r="I342" s="4">
        <f t="shared" ref="I342" si="1126">SUBTOTAL(9,I343:I357)</f>
        <v>446</v>
      </c>
      <c r="J342" s="4">
        <f t="shared" ref="J342" si="1127">SUBTOTAL(9,J343:J357)</f>
        <v>451</v>
      </c>
      <c r="K342" s="4">
        <f t="shared" ref="K342" si="1128">SUBTOTAL(9,K343:K357)</f>
        <v>453</v>
      </c>
      <c r="L342" s="4">
        <f t="shared" ref="L342" si="1129">SUBTOTAL(9,L343:L357)</f>
        <v>455</v>
      </c>
      <c r="M342" s="4">
        <f t="shared" ref="M342" si="1130">SUBTOTAL(9,M343:M357)</f>
        <v>460</v>
      </c>
      <c r="N342" s="4">
        <f t="shared" ref="N342" si="1131">SUBTOTAL(9,N343:N357)</f>
        <v>465</v>
      </c>
      <c r="O342" s="4">
        <f t="shared" ref="O342" si="1132">SUBTOTAL(9,O343:O357)</f>
        <v>473</v>
      </c>
      <c r="P342" s="4">
        <f t="shared" ref="P342" si="1133">SUBTOTAL(9,P343:P357)</f>
        <v>489</v>
      </c>
      <c r="Q342" s="4">
        <f t="shared" si="1122"/>
        <v>496</v>
      </c>
      <c r="R342" s="4">
        <f t="shared" ref="R342:S342" si="1134">SUBTOTAL(9,R343:R357)</f>
        <v>507</v>
      </c>
      <c r="S342" s="4">
        <f t="shared" si="1134"/>
        <v>514</v>
      </c>
      <c r="T342" s="4">
        <f t="shared" ref="T342:U342" si="1135">SUBTOTAL(9,T343:T357)</f>
        <v>523</v>
      </c>
      <c r="U342" s="4">
        <f t="shared" si="1135"/>
        <v>534</v>
      </c>
      <c r="V342" s="4">
        <f t="shared" ref="V342:W342" si="1136">SUBTOTAL(9,V343:V357)</f>
        <v>552</v>
      </c>
      <c r="W342" s="4">
        <f t="shared" si="1136"/>
        <v>565</v>
      </c>
      <c r="X342" s="4">
        <f t="shared" ref="X342:Y342" si="1137">SUBTOTAL(9,X343:X357)</f>
        <v>576</v>
      </c>
      <c r="Y342" s="4">
        <f t="shared" si="1137"/>
        <v>586</v>
      </c>
      <c r="Z342" s="4">
        <f t="shared" ref="Z342:AA342" si="1138">SUBTOTAL(9,Z343:Z357)</f>
        <v>604</v>
      </c>
      <c r="AA342" s="4">
        <f t="shared" si="1138"/>
        <v>622</v>
      </c>
      <c r="AB342" s="4">
        <f t="shared" ref="AB342:AC342" si="1139">SUBTOTAL(9,AB343:AB357)</f>
        <v>650</v>
      </c>
      <c r="AC342" s="4">
        <f t="shared" si="1139"/>
        <v>670</v>
      </c>
      <c r="AD342" s="4">
        <f t="shared" ref="AD342:AO342" si="1140">SUBTOTAL(9,AD343:AD357)</f>
        <v>686</v>
      </c>
      <c r="AE342" s="4">
        <f t="shared" si="1140"/>
        <v>699</v>
      </c>
      <c r="AF342" s="4">
        <f t="shared" si="1140"/>
        <v>708</v>
      </c>
      <c r="AG342" s="4">
        <f t="shared" si="1140"/>
        <v>716</v>
      </c>
      <c r="AH342" s="4">
        <f t="shared" si="1140"/>
        <v>734</v>
      </c>
      <c r="AI342" s="4">
        <f t="shared" si="1140"/>
        <v>747</v>
      </c>
      <c r="AJ342" s="4">
        <f t="shared" si="1140"/>
        <v>752</v>
      </c>
      <c r="AK342" s="4">
        <f t="shared" si="1140"/>
        <v>760</v>
      </c>
      <c r="AL342" s="4">
        <f t="shared" si="1140"/>
        <v>764</v>
      </c>
      <c r="AM342" s="4">
        <f t="shared" si="1140"/>
        <v>769</v>
      </c>
      <c r="AN342" s="4">
        <f t="shared" si="1140"/>
        <v>778</v>
      </c>
      <c r="AO342" s="4">
        <f t="shared" si="1140"/>
        <v>774</v>
      </c>
      <c r="AP342" s="4">
        <v>779</v>
      </c>
      <c r="AQ342" s="4">
        <v>779</v>
      </c>
      <c r="AR342" s="4">
        <v>778</v>
      </c>
      <c r="AS342" s="4">
        <v>783</v>
      </c>
      <c r="AT342" s="41">
        <f t="shared" ref="AT342:AY342" si="1141">AT343+AT348+AT353</f>
        <v>786</v>
      </c>
      <c r="AU342" s="41">
        <f t="shared" si="1141"/>
        <v>792</v>
      </c>
      <c r="AV342" s="41">
        <f t="shared" si="1141"/>
        <v>801</v>
      </c>
      <c r="AW342" s="41">
        <f t="shared" si="1141"/>
        <v>809</v>
      </c>
      <c r="AX342" s="41">
        <f t="shared" si="1141"/>
        <v>811</v>
      </c>
      <c r="AY342" s="41">
        <f t="shared" si="1141"/>
        <v>812</v>
      </c>
    </row>
    <row r="343" spans="1:51">
      <c r="A343" s="11"/>
      <c r="B343" s="3" t="s">
        <v>14</v>
      </c>
      <c r="C343" s="3" t="s">
        <v>18</v>
      </c>
      <c r="D343" s="4">
        <f t="shared" ref="D343:Q343" si="1142">SUBTOTAL(9,D344:D347)</f>
        <v>83</v>
      </c>
      <c r="E343" s="4">
        <v>83</v>
      </c>
      <c r="F343" s="4">
        <f t="shared" ref="F343" si="1143">SUBTOTAL(9,F344:F347)</f>
        <v>87</v>
      </c>
      <c r="G343" s="4">
        <f t="shared" ref="G343" si="1144">SUBTOTAL(9,G344:G347)</f>
        <v>87</v>
      </c>
      <c r="H343" s="4">
        <f t="shared" ref="H343" si="1145">SUBTOTAL(9,H344:H347)</f>
        <v>92</v>
      </c>
      <c r="I343" s="4">
        <f t="shared" ref="I343" si="1146">SUBTOTAL(9,I344:I347)</f>
        <v>93</v>
      </c>
      <c r="J343" s="4">
        <f t="shared" ref="J343" si="1147">SUBTOTAL(9,J344:J347)</f>
        <v>93</v>
      </c>
      <c r="K343" s="4">
        <f t="shared" ref="K343" si="1148">SUBTOTAL(9,K344:K347)</f>
        <v>93</v>
      </c>
      <c r="L343" s="4">
        <f t="shared" ref="L343" si="1149">SUBTOTAL(9,L344:L347)</f>
        <v>93</v>
      </c>
      <c r="M343" s="4">
        <f t="shared" ref="M343" si="1150">SUBTOTAL(9,M344:M347)</f>
        <v>95</v>
      </c>
      <c r="N343" s="4">
        <f t="shared" ref="N343" si="1151">SUBTOTAL(9,N344:N347)</f>
        <v>95</v>
      </c>
      <c r="O343" s="4">
        <f t="shared" ref="O343" si="1152">SUBTOTAL(9,O344:O347)</f>
        <v>95</v>
      </c>
      <c r="P343" s="4">
        <f t="shared" ref="P343" si="1153">SUBTOTAL(9,P344:P347)</f>
        <v>95</v>
      </c>
      <c r="Q343" s="4">
        <f t="shared" si="1142"/>
        <v>95</v>
      </c>
      <c r="R343" s="4">
        <f t="shared" ref="R343:S343" si="1154">SUBTOTAL(9,R344:R347)</f>
        <v>96</v>
      </c>
      <c r="S343" s="4">
        <f t="shared" si="1154"/>
        <v>97</v>
      </c>
      <c r="T343" s="4">
        <f t="shared" ref="T343:U343" si="1155">SUBTOTAL(9,T344:T347)</f>
        <v>98</v>
      </c>
      <c r="U343" s="4">
        <f t="shared" si="1155"/>
        <v>98</v>
      </c>
      <c r="V343" s="4">
        <f t="shared" ref="V343:W343" si="1156">SUBTOTAL(9,V344:V347)</f>
        <v>98</v>
      </c>
      <c r="W343" s="4">
        <f t="shared" si="1156"/>
        <v>98</v>
      </c>
      <c r="X343" s="4">
        <f t="shared" ref="X343:Y343" si="1157">SUBTOTAL(9,X344:X347)</f>
        <v>98</v>
      </c>
      <c r="Y343" s="4">
        <f t="shared" si="1157"/>
        <v>98</v>
      </c>
      <c r="Z343" s="4">
        <f t="shared" ref="Z343:AA343" si="1158">SUBTOTAL(9,Z344:Z347)</f>
        <v>99</v>
      </c>
      <c r="AA343" s="4">
        <f t="shared" si="1158"/>
        <v>99</v>
      </c>
      <c r="AB343" s="4">
        <f t="shared" ref="AB343:AC343" si="1159">SUBTOTAL(9,AB344:AB347)</f>
        <v>99</v>
      </c>
      <c r="AC343" s="4">
        <f t="shared" si="1159"/>
        <v>99</v>
      </c>
      <c r="AD343" s="4">
        <f t="shared" ref="AD343:AO343" si="1160">SUBTOTAL(9,AD344:AD347)</f>
        <v>99</v>
      </c>
      <c r="AE343" s="4">
        <f t="shared" si="1160"/>
        <v>97</v>
      </c>
      <c r="AF343" s="4">
        <f t="shared" si="1160"/>
        <v>87</v>
      </c>
      <c r="AG343" s="4">
        <f t="shared" si="1160"/>
        <v>87</v>
      </c>
      <c r="AH343" s="4">
        <f t="shared" si="1160"/>
        <v>87</v>
      </c>
      <c r="AI343" s="4">
        <f t="shared" si="1160"/>
        <v>87</v>
      </c>
      <c r="AJ343" s="4">
        <f t="shared" si="1160"/>
        <v>86</v>
      </c>
      <c r="AK343" s="4">
        <f t="shared" si="1160"/>
        <v>86</v>
      </c>
      <c r="AL343" s="4">
        <f t="shared" si="1160"/>
        <v>86</v>
      </c>
      <c r="AM343" s="4">
        <f t="shared" si="1160"/>
        <v>86</v>
      </c>
      <c r="AN343" s="4">
        <f t="shared" si="1160"/>
        <v>86</v>
      </c>
      <c r="AO343" s="4">
        <f t="shared" si="1160"/>
        <v>86</v>
      </c>
      <c r="AP343" s="4">
        <v>86</v>
      </c>
      <c r="AQ343" s="4">
        <v>86</v>
      </c>
      <c r="AR343" s="4">
        <v>86</v>
      </c>
      <c r="AS343" s="4">
        <v>86</v>
      </c>
      <c r="AT343" s="3">
        <f t="shared" ref="AT343:AY343" si="1161">SUM(AT344:AT347)</f>
        <v>86</v>
      </c>
      <c r="AU343" s="3">
        <f t="shared" si="1161"/>
        <v>86</v>
      </c>
      <c r="AV343" s="3">
        <f t="shared" si="1161"/>
        <v>86</v>
      </c>
      <c r="AW343" s="3">
        <f t="shared" si="1161"/>
        <v>86</v>
      </c>
      <c r="AX343" s="3">
        <f t="shared" si="1161"/>
        <v>86</v>
      </c>
      <c r="AY343" s="3">
        <f t="shared" si="1161"/>
        <v>86</v>
      </c>
    </row>
    <row r="344" spans="1:51">
      <c r="A344" s="11"/>
      <c r="C344" s="3" t="s">
        <v>3</v>
      </c>
      <c r="D344" s="3">
        <v>10</v>
      </c>
      <c r="E344" s="3">
        <v>10</v>
      </c>
      <c r="F344" s="3">
        <v>11</v>
      </c>
      <c r="G344" s="3">
        <v>12</v>
      </c>
      <c r="H344" s="3">
        <v>15</v>
      </c>
      <c r="I344" s="3">
        <v>15</v>
      </c>
      <c r="J344" s="3">
        <v>15</v>
      </c>
      <c r="K344" s="3">
        <v>15</v>
      </c>
      <c r="L344" s="3">
        <v>15</v>
      </c>
      <c r="M344" s="3">
        <v>15</v>
      </c>
      <c r="N344" s="3">
        <v>15</v>
      </c>
      <c r="O344" s="3">
        <v>15</v>
      </c>
      <c r="P344" s="3">
        <v>15</v>
      </c>
      <c r="Q344" s="3">
        <v>15</v>
      </c>
      <c r="R344" s="3">
        <v>15</v>
      </c>
      <c r="S344" s="3">
        <v>15</v>
      </c>
      <c r="T344" s="3">
        <v>15</v>
      </c>
      <c r="U344" s="3">
        <v>15</v>
      </c>
      <c r="V344" s="3">
        <v>15</v>
      </c>
      <c r="W344" s="3">
        <v>15</v>
      </c>
      <c r="X344" s="3">
        <v>15</v>
      </c>
      <c r="Y344" s="3">
        <v>15</v>
      </c>
      <c r="Z344" s="3">
        <v>16</v>
      </c>
      <c r="AA344" s="3">
        <v>16</v>
      </c>
      <c r="AB344" s="3">
        <v>16</v>
      </c>
      <c r="AC344" s="3">
        <v>16</v>
      </c>
      <c r="AD344" s="3">
        <v>16</v>
      </c>
      <c r="AE344" s="3">
        <v>16</v>
      </c>
      <c r="AF344" s="3">
        <v>16</v>
      </c>
      <c r="AG344" s="3">
        <v>16</v>
      </c>
      <c r="AH344" s="3">
        <v>17</v>
      </c>
      <c r="AI344" s="3">
        <v>18</v>
      </c>
      <c r="AJ344" s="3">
        <v>18</v>
      </c>
      <c r="AK344" s="3">
        <v>18</v>
      </c>
      <c r="AL344" s="3">
        <v>18</v>
      </c>
      <c r="AM344" s="3">
        <v>18</v>
      </c>
      <c r="AN344" s="3">
        <v>19</v>
      </c>
      <c r="AO344" s="3">
        <v>19</v>
      </c>
      <c r="AP344" s="4">
        <v>19</v>
      </c>
      <c r="AQ344" s="4">
        <v>19</v>
      </c>
      <c r="AR344" s="4">
        <v>19</v>
      </c>
      <c r="AS344" s="4">
        <v>19</v>
      </c>
      <c r="AT344" s="3">
        <v>20</v>
      </c>
      <c r="AU344" s="3">
        <v>20</v>
      </c>
      <c r="AV344" s="3">
        <v>20</v>
      </c>
      <c r="AW344" s="3">
        <v>20</v>
      </c>
      <c r="AX344" s="3">
        <v>20</v>
      </c>
      <c r="AY344" s="3">
        <v>20</v>
      </c>
    </row>
    <row r="345" spans="1:51">
      <c r="A345" s="11"/>
      <c r="C345" s="3" t="s">
        <v>4</v>
      </c>
      <c r="D345" s="4">
        <v>18</v>
      </c>
      <c r="E345" s="4">
        <v>20</v>
      </c>
      <c r="F345" s="4">
        <v>18</v>
      </c>
      <c r="G345" s="4">
        <v>17</v>
      </c>
      <c r="H345" s="4">
        <v>14</v>
      </c>
      <c r="I345" s="4">
        <v>14</v>
      </c>
      <c r="J345" s="4">
        <v>14</v>
      </c>
      <c r="K345" s="4">
        <v>14</v>
      </c>
      <c r="L345" s="4">
        <v>14</v>
      </c>
      <c r="M345" s="4">
        <v>14</v>
      </c>
      <c r="N345" s="4">
        <v>14</v>
      </c>
      <c r="O345" s="4">
        <v>14</v>
      </c>
      <c r="P345" s="4">
        <v>14</v>
      </c>
      <c r="Q345" s="4">
        <v>14</v>
      </c>
      <c r="R345" s="4">
        <v>14</v>
      </c>
      <c r="S345" s="4">
        <v>14</v>
      </c>
      <c r="T345" s="4">
        <v>14</v>
      </c>
      <c r="U345" s="4">
        <v>14</v>
      </c>
      <c r="V345" s="4">
        <v>14</v>
      </c>
      <c r="W345" s="4">
        <v>14</v>
      </c>
      <c r="X345" s="4">
        <v>14</v>
      </c>
      <c r="Y345" s="4">
        <v>15</v>
      </c>
      <c r="Z345" s="4">
        <v>15</v>
      </c>
      <c r="AA345" s="4">
        <v>15</v>
      </c>
      <c r="AB345" s="4">
        <v>15</v>
      </c>
      <c r="AC345" s="4">
        <v>15</v>
      </c>
      <c r="AD345" s="4">
        <v>15</v>
      </c>
      <c r="AE345" s="4">
        <v>15</v>
      </c>
      <c r="AF345" s="4">
        <v>19</v>
      </c>
      <c r="AG345" s="4">
        <v>19</v>
      </c>
      <c r="AH345" s="4">
        <v>18</v>
      </c>
      <c r="AI345" s="4">
        <v>17</v>
      </c>
      <c r="AJ345" s="4">
        <v>17</v>
      </c>
      <c r="AK345" s="4">
        <v>17</v>
      </c>
      <c r="AL345" s="4">
        <v>17</v>
      </c>
      <c r="AM345" s="4">
        <v>17</v>
      </c>
      <c r="AN345" s="4">
        <v>16</v>
      </c>
      <c r="AO345" s="4">
        <v>16</v>
      </c>
      <c r="AP345" s="4">
        <v>16</v>
      </c>
      <c r="AQ345" s="4">
        <v>16</v>
      </c>
      <c r="AR345" s="4">
        <v>20</v>
      </c>
      <c r="AS345" s="4">
        <v>21</v>
      </c>
      <c r="AT345" s="3">
        <v>20</v>
      </c>
      <c r="AU345" s="3">
        <v>20</v>
      </c>
      <c r="AV345" s="3">
        <v>20</v>
      </c>
      <c r="AW345" s="3">
        <v>20</v>
      </c>
      <c r="AX345" s="3">
        <v>20</v>
      </c>
      <c r="AY345" s="3">
        <v>20</v>
      </c>
    </row>
    <row r="346" spans="1:51">
      <c r="A346" s="11"/>
      <c r="C346" s="3" t="s">
        <v>5</v>
      </c>
      <c r="D346" s="3">
        <v>29</v>
      </c>
      <c r="E346" s="3">
        <v>27</v>
      </c>
      <c r="F346" s="3">
        <v>27</v>
      </c>
      <c r="G346" s="3">
        <v>27</v>
      </c>
      <c r="H346" s="3">
        <v>27</v>
      </c>
      <c r="I346" s="3">
        <v>27</v>
      </c>
      <c r="J346" s="3">
        <v>27</v>
      </c>
      <c r="K346" s="3">
        <v>27</v>
      </c>
      <c r="L346" s="3">
        <v>27</v>
      </c>
      <c r="M346" s="3">
        <v>27</v>
      </c>
      <c r="N346" s="3">
        <v>27</v>
      </c>
      <c r="O346" s="3">
        <v>28</v>
      </c>
      <c r="P346" s="3">
        <v>28</v>
      </c>
      <c r="Q346" s="3">
        <v>28</v>
      </c>
      <c r="R346" s="3">
        <v>29</v>
      </c>
      <c r="S346" s="3">
        <v>29</v>
      </c>
      <c r="T346" s="3">
        <v>31</v>
      </c>
      <c r="U346" s="3">
        <v>31</v>
      </c>
      <c r="V346" s="3">
        <v>31</v>
      </c>
      <c r="W346" s="3">
        <v>31</v>
      </c>
      <c r="X346" s="3">
        <v>31</v>
      </c>
      <c r="Y346" s="3">
        <v>30</v>
      </c>
      <c r="Z346" s="3">
        <v>29</v>
      </c>
      <c r="AA346" s="3">
        <v>29</v>
      </c>
      <c r="AB346" s="3">
        <v>29</v>
      </c>
      <c r="AC346" s="3">
        <v>29</v>
      </c>
      <c r="AD346" s="3">
        <v>29</v>
      </c>
      <c r="AE346" s="3">
        <v>29</v>
      </c>
      <c r="AF346" s="3">
        <v>26</v>
      </c>
      <c r="AG346" s="3">
        <v>26</v>
      </c>
      <c r="AH346" s="3">
        <v>26</v>
      </c>
      <c r="AI346" s="3">
        <v>25</v>
      </c>
      <c r="AJ346" s="3">
        <v>25</v>
      </c>
      <c r="AK346" s="3">
        <v>25</v>
      </c>
      <c r="AL346" s="3">
        <v>25</v>
      </c>
      <c r="AM346" s="3">
        <v>25</v>
      </c>
      <c r="AN346" s="3">
        <v>26</v>
      </c>
      <c r="AO346" s="3">
        <v>26</v>
      </c>
      <c r="AP346" s="4">
        <v>26</v>
      </c>
      <c r="AQ346" s="4">
        <v>26</v>
      </c>
      <c r="AR346" s="4">
        <v>21</v>
      </c>
      <c r="AS346" s="4">
        <v>20</v>
      </c>
      <c r="AT346" s="3">
        <v>19</v>
      </c>
      <c r="AU346" s="3">
        <v>19</v>
      </c>
      <c r="AV346" s="3">
        <v>19</v>
      </c>
      <c r="AW346" s="3">
        <v>19</v>
      </c>
      <c r="AX346" s="3">
        <v>19</v>
      </c>
      <c r="AY346" s="3">
        <v>18</v>
      </c>
    </row>
    <row r="347" spans="1:51">
      <c r="A347" s="11"/>
      <c r="C347" s="3" t="s">
        <v>2</v>
      </c>
      <c r="D347" s="4">
        <v>26</v>
      </c>
      <c r="E347" s="4">
        <v>26</v>
      </c>
      <c r="F347" s="4">
        <v>31</v>
      </c>
      <c r="G347" s="4">
        <v>31</v>
      </c>
      <c r="H347" s="4">
        <v>36</v>
      </c>
      <c r="I347" s="4">
        <v>37</v>
      </c>
      <c r="J347" s="4">
        <v>37</v>
      </c>
      <c r="K347" s="4">
        <v>37</v>
      </c>
      <c r="L347" s="4">
        <v>37</v>
      </c>
      <c r="M347" s="4">
        <v>39</v>
      </c>
      <c r="N347" s="4">
        <v>39</v>
      </c>
      <c r="O347" s="4">
        <v>38</v>
      </c>
      <c r="P347" s="4">
        <v>38</v>
      </c>
      <c r="Q347" s="4">
        <v>38</v>
      </c>
      <c r="R347" s="4">
        <v>38</v>
      </c>
      <c r="S347" s="4">
        <v>39</v>
      </c>
      <c r="T347" s="4">
        <v>38</v>
      </c>
      <c r="U347" s="4">
        <v>38</v>
      </c>
      <c r="V347" s="4">
        <v>38</v>
      </c>
      <c r="W347" s="4">
        <v>38</v>
      </c>
      <c r="X347" s="4">
        <v>38</v>
      </c>
      <c r="Y347" s="4">
        <v>38</v>
      </c>
      <c r="Z347" s="4">
        <v>39</v>
      </c>
      <c r="AA347" s="4">
        <v>39</v>
      </c>
      <c r="AB347" s="4">
        <v>39</v>
      </c>
      <c r="AC347" s="4">
        <v>39</v>
      </c>
      <c r="AD347" s="4">
        <v>39</v>
      </c>
      <c r="AE347" s="4">
        <v>37</v>
      </c>
      <c r="AF347" s="4">
        <v>26</v>
      </c>
      <c r="AG347" s="4">
        <v>26</v>
      </c>
      <c r="AH347" s="4">
        <v>26</v>
      </c>
      <c r="AI347" s="4">
        <v>27</v>
      </c>
      <c r="AJ347" s="4">
        <v>26</v>
      </c>
      <c r="AK347" s="4">
        <v>26</v>
      </c>
      <c r="AL347" s="4">
        <v>26</v>
      </c>
      <c r="AM347" s="4">
        <v>26</v>
      </c>
      <c r="AN347" s="4">
        <v>25</v>
      </c>
      <c r="AO347" s="4">
        <v>25</v>
      </c>
      <c r="AP347" s="4">
        <v>25</v>
      </c>
      <c r="AQ347" s="4">
        <v>25</v>
      </c>
      <c r="AR347" s="4">
        <v>26</v>
      </c>
      <c r="AS347" s="4">
        <v>26</v>
      </c>
      <c r="AT347" s="3">
        <v>27</v>
      </c>
      <c r="AU347" s="3">
        <v>27</v>
      </c>
      <c r="AV347" s="3">
        <v>27</v>
      </c>
      <c r="AW347" s="3">
        <v>27</v>
      </c>
      <c r="AX347" s="3">
        <v>27</v>
      </c>
      <c r="AY347" s="3">
        <v>28</v>
      </c>
    </row>
    <row r="348" spans="1:51">
      <c r="A348" s="11"/>
      <c r="B348" s="3" t="s">
        <v>15</v>
      </c>
      <c r="C348" s="3" t="s">
        <v>18</v>
      </c>
      <c r="D348" s="4">
        <f t="shared" ref="D348:Q348" si="1162">SUBTOTAL(9,D349:D352)</f>
        <v>33</v>
      </c>
      <c r="E348" s="4">
        <f t="shared" ref="E348" si="1163">SUBTOTAL(9,E349:E352)</f>
        <v>33</v>
      </c>
      <c r="F348" s="4">
        <f t="shared" ref="F348" si="1164">SUBTOTAL(9,F349:F352)</f>
        <v>33</v>
      </c>
      <c r="G348" s="4">
        <f t="shared" ref="G348" si="1165">SUBTOTAL(9,G349:G352)</f>
        <v>33</v>
      </c>
      <c r="H348" s="4">
        <f t="shared" ref="H348" si="1166">SUBTOTAL(9,H349:H352)</f>
        <v>33</v>
      </c>
      <c r="I348" s="4">
        <f t="shared" ref="I348" si="1167">SUBTOTAL(9,I349:I352)</f>
        <v>34</v>
      </c>
      <c r="J348" s="4">
        <f t="shared" ref="J348" si="1168">SUBTOTAL(9,J349:J352)</f>
        <v>34</v>
      </c>
      <c r="K348" s="4">
        <f t="shared" ref="K348" si="1169">SUBTOTAL(9,K349:K352)</f>
        <v>34</v>
      </c>
      <c r="L348" s="4">
        <f t="shared" ref="L348" si="1170">SUBTOTAL(9,L349:L352)</f>
        <v>34</v>
      </c>
      <c r="M348" s="4">
        <f t="shared" ref="M348" si="1171">SUBTOTAL(9,M349:M352)</f>
        <v>34</v>
      </c>
      <c r="N348" s="4">
        <f t="shared" ref="N348" si="1172">SUBTOTAL(9,N349:N352)</f>
        <v>36</v>
      </c>
      <c r="O348" s="4">
        <f t="shared" ref="O348" si="1173">SUBTOTAL(9,O349:O352)</f>
        <v>36</v>
      </c>
      <c r="P348" s="4">
        <f t="shared" ref="P348" si="1174">SUBTOTAL(9,P349:P352)</f>
        <v>37</v>
      </c>
      <c r="Q348" s="4">
        <f t="shared" si="1162"/>
        <v>37</v>
      </c>
      <c r="R348" s="4">
        <f t="shared" ref="R348:S348" si="1175">SUBTOTAL(9,R349:R352)</f>
        <v>39</v>
      </c>
      <c r="S348" s="4">
        <f t="shared" si="1175"/>
        <v>39</v>
      </c>
      <c r="T348" s="4">
        <f t="shared" ref="T348:U348" si="1176">SUBTOTAL(9,T349:T352)</f>
        <v>41</v>
      </c>
      <c r="U348" s="4">
        <f t="shared" si="1176"/>
        <v>46</v>
      </c>
      <c r="V348" s="4">
        <f t="shared" ref="V348:W348" si="1177">SUBTOTAL(9,V349:V352)</f>
        <v>48</v>
      </c>
      <c r="W348" s="4">
        <f t="shared" si="1177"/>
        <v>52</v>
      </c>
      <c r="X348" s="4">
        <f t="shared" ref="X348:Y348" si="1178">SUBTOTAL(9,X349:X352)</f>
        <v>53</v>
      </c>
      <c r="Y348" s="4">
        <f t="shared" si="1178"/>
        <v>57</v>
      </c>
      <c r="Z348" s="4">
        <f t="shared" ref="Z348:AA348" si="1179">SUBTOTAL(9,Z349:Z352)</f>
        <v>61</v>
      </c>
      <c r="AA348" s="4">
        <f t="shared" si="1179"/>
        <v>66</v>
      </c>
      <c r="AB348" s="4">
        <f t="shared" ref="AB348:AC348" si="1180">SUBTOTAL(9,AB349:AB352)</f>
        <v>72</v>
      </c>
      <c r="AC348" s="4">
        <f t="shared" si="1180"/>
        <v>74</v>
      </c>
      <c r="AD348" s="4">
        <f t="shared" ref="AD348:AO348" si="1181">SUBTOTAL(9,AD349:AD352)</f>
        <v>75</v>
      </c>
      <c r="AE348" s="4">
        <f t="shared" si="1181"/>
        <v>76</v>
      </c>
      <c r="AF348" s="4">
        <f t="shared" si="1181"/>
        <v>77</v>
      </c>
      <c r="AG348" s="4">
        <f t="shared" si="1181"/>
        <v>73</v>
      </c>
      <c r="AH348" s="4">
        <f t="shared" si="1181"/>
        <v>76</v>
      </c>
      <c r="AI348" s="4">
        <f t="shared" si="1181"/>
        <v>76</v>
      </c>
      <c r="AJ348" s="4">
        <f t="shared" si="1181"/>
        <v>75</v>
      </c>
      <c r="AK348" s="4">
        <f t="shared" si="1181"/>
        <v>77</v>
      </c>
      <c r="AL348" s="4">
        <f t="shared" si="1181"/>
        <v>80</v>
      </c>
      <c r="AM348" s="4">
        <f t="shared" si="1181"/>
        <v>81</v>
      </c>
      <c r="AN348" s="4">
        <f t="shared" si="1181"/>
        <v>82</v>
      </c>
      <c r="AO348" s="4">
        <f t="shared" si="1181"/>
        <v>83</v>
      </c>
      <c r="AP348" s="4">
        <v>86</v>
      </c>
      <c r="AQ348" s="4">
        <v>86</v>
      </c>
      <c r="AR348" s="4">
        <v>88</v>
      </c>
      <c r="AS348" s="4">
        <v>89</v>
      </c>
      <c r="AT348" s="3">
        <f t="shared" ref="AT348:AY348" si="1182">SUM(AT349:AT352)</f>
        <v>92</v>
      </c>
      <c r="AU348" s="3">
        <f t="shared" si="1182"/>
        <v>93</v>
      </c>
      <c r="AV348" s="3">
        <f t="shared" si="1182"/>
        <v>94</v>
      </c>
      <c r="AW348" s="3">
        <f t="shared" si="1182"/>
        <v>98</v>
      </c>
      <c r="AX348" s="3">
        <f t="shared" si="1182"/>
        <v>99</v>
      </c>
      <c r="AY348" s="3">
        <f t="shared" si="1182"/>
        <v>100</v>
      </c>
    </row>
    <row r="349" spans="1:51">
      <c r="A349" s="11"/>
      <c r="C349" s="3" t="s">
        <v>3</v>
      </c>
      <c r="D349" s="4">
        <v>1</v>
      </c>
      <c r="E349" s="4">
        <v>1</v>
      </c>
      <c r="F349" s="4">
        <v>1</v>
      </c>
      <c r="G349" s="4">
        <v>1</v>
      </c>
      <c r="H349" s="4">
        <v>1</v>
      </c>
      <c r="I349" s="4">
        <v>1</v>
      </c>
      <c r="J349" s="4">
        <v>1</v>
      </c>
      <c r="K349" s="4">
        <v>1</v>
      </c>
      <c r="L349" s="4">
        <v>1</v>
      </c>
      <c r="M349" s="4">
        <v>1</v>
      </c>
      <c r="N349" s="4">
        <v>1</v>
      </c>
      <c r="O349" s="4">
        <v>1</v>
      </c>
      <c r="P349" s="4">
        <v>1</v>
      </c>
      <c r="Q349" s="4">
        <v>1</v>
      </c>
      <c r="R349" s="4">
        <v>1</v>
      </c>
      <c r="S349" s="4">
        <v>1</v>
      </c>
      <c r="T349" s="4">
        <v>1</v>
      </c>
      <c r="U349" s="4">
        <v>1</v>
      </c>
      <c r="V349" s="4">
        <v>1</v>
      </c>
      <c r="W349" s="4">
        <v>1</v>
      </c>
      <c r="X349" s="4">
        <v>1</v>
      </c>
      <c r="Y349" s="4">
        <v>1</v>
      </c>
      <c r="Z349" s="4">
        <v>1</v>
      </c>
      <c r="AA349" s="4">
        <v>1</v>
      </c>
      <c r="AB349" s="4">
        <v>1</v>
      </c>
      <c r="AC349" s="4">
        <v>1</v>
      </c>
      <c r="AD349" s="4">
        <v>1</v>
      </c>
      <c r="AE349" s="4">
        <v>1</v>
      </c>
      <c r="AF349" s="4">
        <v>1</v>
      </c>
      <c r="AG349" s="4">
        <v>1</v>
      </c>
      <c r="AH349" s="4">
        <v>1</v>
      </c>
      <c r="AI349" s="4">
        <v>1</v>
      </c>
      <c r="AJ349" s="4">
        <v>1</v>
      </c>
      <c r="AK349" s="4">
        <v>1</v>
      </c>
      <c r="AL349" s="4">
        <v>1</v>
      </c>
      <c r="AM349" s="4">
        <v>1</v>
      </c>
      <c r="AN349" s="4">
        <v>1</v>
      </c>
      <c r="AO349" s="4">
        <v>2</v>
      </c>
      <c r="AP349" s="4">
        <v>2</v>
      </c>
      <c r="AQ349" s="4">
        <v>2</v>
      </c>
      <c r="AR349" s="4">
        <v>1</v>
      </c>
      <c r="AS349" s="4">
        <v>1</v>
      </c>
      <c r="AT349" s="3">
        <v>3</v>
      </c>
      <c r="AU349" s="3">
        <v>1</v>
      </c>
      <c r="AV349" s="3">
        <v>1</v>
      </c>
      <c r="AW349" s="3">
        <v>1</v>
      </c>
      <c r="AX349" s="3">
        <v>1</v>
      </c>
      <c r="AY349" s="3">
        <v>1</v>
      </c>
    </row>
    <row r="350" spans="1:51">
      <c r="A350" s="11"/>
      <c r="C350" s="3" t="s">
        <v>4</v>
      </c>
      <c r="D350" s="4">
        <v>1</v>
      </c>
      <c r="E350" s="4">
        <v>1</v>
      </c>
      <c r="F350" s="4">
        <v>1</v>
      </c>
      <c r="G350" s="4">
        <v>1</v>
      </c>
      <c r="H350" s="4">
        <v>1</v>
      </c>
      <c r="I350" s="4">
        <v>1</v>
      </c>
      <c r="J350" s="4">
        <v>2</v>
      </c>
      <c r="K350" s="4">
        <v>2</v>
      </c>
      <c r="L350" s="4">
        <v>2</v>
      </c>
      <c r="M350" s="4">
        <v>2</v>
      </c>
      <c r="N350" s="4">
        <v>2</v>
      </c>
      <c r="O350" s="4">
        <v>2</v>
      </c>
      <c r="P350" s="4">
        <v>2</v>
      </c>
      <c r="Q350" s="4">
        <v>2</v>
      </c>
      <c r="R350" s="4">
        <v>2</v>
      </c>
      <c r="S350" s="4">
        <v>2</v>
      </c>
      <c r="T350" s="4">
        <v>2</v>
      </c>
      <c r="U350" s="4">
        <v>2</v>
      </c>
      <c r="V350" s="4">
        <v>2</v>
      </c>
      <c r="W350" s="4">
        <v>3</v>
      </c>
      <c r="X350" s="4">
        <v>3</v>
      </c>
      <c r="Y350" s="4">
        <v>3</v>
      </c>
      <c r="Z350" s="4">
        <v>6</v>
      </c>
      <c r="AA350" s="4">
        <v>6</v>
      </c>
      <c r="AB350" s="4">
        <v>6</v>
      </c>
      <c r="AC350" s="4">
        <v>5</v>
      </c>
      <c r="AD350" s="4">
        <v>5</v>
      </c>
      <c r="AE350" s="4">
        <v>5</v>
      </c>
      <c r="AF350" s="4">
        <v>6</v>
      </c>
      <c r="AG350" s="4">
        <v>5</v>
      </c>
      <c r="AH350" s="4">
        <v>5</v>
      </c>
      <c r="AI350" s="4">
        <v>5</v>
      </c>
      <c r="AJ350" s="4">
        <v>5</v>
      </c>
      <c r="AK350" s="4">
        <v>6</v>
      </c>
      <c r="AL350" s="4">
        <v>6</v>
      </c>
      <c r="AM350" s="4">
        <v>6</v>
      </c>
      <c r="AN350" s="4">
        <v>6</v>
      </c>
      <c r="AO350" s="4">
        <v>5</v>
      </c>
      <c r="AP350" s="4">
        <v>5</v>
      </c>
      <c r="AQ350" s="4">
        <v>5</v>
      </c>
      <c r="AR350" s="4">
        <v>7</v>
      </c>
      <c r="AS350" s="4">
        <v>7</v>
      </c>
      <c r="AT350" s="3">
        <v>6</v>
      </c>
      <c r="AU350" s="3">
        <v>9</v>
      </c>
      <c r="AV350" s="3">
        <v>10</v>
      </c>
      <c r="AW350" s="3">
        <v>11</v>
      </c>
      <c r="AX350" s="3">
        <v>10</v>
      </c>
      <c r="AY350" s="3">
        <v>10</v>
      </c>
    </row>
    <row r="351" spans="1:51">
      <c r="A351" s="11"/>
      <c r="C351" s="3" t="s">
        <v>5</v>
      </c>
      <c r="D351" s="4">
        <v>13</v>
      </c>
      <c r="E351" s="4">
        <v>13</v>
      </c>
      <c r="F351" s="4">
        <v>13</v>
      </c>
      <c r="G351" s="4">
        <v>13</v>
      </c>
      <c r="H351" s="4">
        <v>14</v>
      </c>
      <c r="I351" s="4">
        <v>14</v>
      </c>
      <c r="J351" s="4">
        <v>13</v>
      </c>
      <c r="K351" s="4">
        <v>13</v>
      </c>
      <c r="L351" s="4">
        <v>13</v>
      </c>
      <c r="M351" s="4">
        <v>13</v>
      </c>
      <c r="N351" s="4">
        <v>13</v>
      </c>
      <c r="O351" s="4">
        <v>13</v>
      </c>
      <c r="P351" s="4">
        <v>13</v>
      </c>
      <c r="Q351" s="4">
        <v>14</v>
      </c>
      <c r="R351" s="4">
        <v>15</v>
      </c>
      <c r="S351" s="4">
        <v>15</v>
      </c>
      <c r="T351" s="4">
        <v>16</v>
      </c>
      <c r="U351" s="4">
        <v>19</v>
      </c>
      <c r="V351" s="4">
        <v>20</v>
      </c>
      <c r="W351" s="4">
        <v>20</v>
      </c>
      <c r="X351" s="4">
        <v>20</v>
      </c>
      <c r="Y351" s="4">
        <v>20</v>
      </c>
      <c r="Z351" s="4">
        <v>21</v>
      </c>
      <c r="AA351" s="4">
        <v>24</v>
      </c>
      <c r="AB351" s="4">
        <v>24</v>
      </c>
      <c r="AC351" s="4">
        <v>26</v>
      </c>
      <c r="AD351" s="4">
        <v>26</v>
      </c>
      <c r="AE351" s="4">
        <v>28</v>
      </c>
      <c r="AF351" s="4">
        <v>28</v>
      </c>
      <c r="AG351" s="4">
        <v>29</v>
      </c>
      <c r="AH351" s="4">
        <v>30</v>
      </c>
      <c r="AI351" s="4">
        <v>30</v>
      </c>
      <c r="AJ351" s="4">
        <v>30</v>
      </c>
      <c r="AK351" s="4">
        <v>31</v>
      </c>
      <c r="AL351" s="4">
        <v>33</v>
      </c>
      <c r="AM351" s="4">
        <v>34</v>
      </c>
      <c r="AN351" s="4">
        <v>36</v>
      </c>
      <c r="AO351" s="4">
        <v>36</v>
      </c>
      <c r="AP351" s="4">
        <v>35</v>
      </c>
      <c r="AQ351" s="4">
        <v>35</v>
      </c>
      <c r="AR351" s="4">
        <v>34</v>
      </c>
      <c r="AS351" s="4">
        <v>35</v>
      </c>
      <c r="AT351" s="3">
        <v>39</v>
      </c>
      <c r="AU351" s="3">
        <v>39</v>
      </c>
      <c r="AV351" s="3">
        <v>39</v>
      </c>
      <c r="AW351" s="3">
        <v>38</v>
      </c>
      <c r="AX351" s="3">
        <v>39</v>
      </c>
      <c r="AY351" s="3">
        <v>40</v>
      </c>
    </row>
    <row r="352" spans="1:51">
      <c r="A352" s="11"/>
      <c r="C352" s="3" t="s">
        <v>2</v>
      </c>
      <c r="D352" s="4">
        <v>18</v>
      </c>
      <c r="E352" s="4">
        <v>18</v>
      </c>
      <c r="F352" s="4">
        <v>18</v>
      </c>
      <c r="G352" s="4">
        <v>18</v>
      </c>
      <c r="H352" s="4">
        <v>17</v>
      </c>
      <c r="I352" s="4">
        <v>18</v>
      </c>
      <c r="J352" s="4">
        <v>18</v>
      </c>
      <c r="K352" s="4">
        <v>18</v>
      </c>
      <c r="L352" s="4">
        <v>18</v>
      </c>
      <c r="M352" s="4">
        <v>18</v>
      </c>
      <c r="N352" s="4">
        <v>20</v>
      </c>
      <c r="O352" s="4">
        <v>20</v>
      </c>
      <c r="P352" s="4">
        <v>21</v>
      </c>
      <c r="Q352" s="4">
        <v>20</v>
      </c>
      <c r="R352" s="4">
        <v>21</v>
      </c>
      <c r="S352" s="4">
        <v>21</v>
      </c>
      <c r="T352" s="4">
        <v>22</v>
      </c>
      <c r="U352" s="4">
        <v>24</v>
      </c>
      <c r="V352" s="4">
        <v>25</v>
      </c>
      <c r="W352" s="4">
        <v>28</v>
      </c>
      <c r="X352" s="4">
        <v>29</v>
      </c>
      <c r="Y352" s="4">
        <v>33</v>
      </c>
      <c r="Z352" s="4">
        <v>33</v>
      </c>
      <c r="AA352" s="4">
        <v>35</v>
      </c>
      <c r="AB352" s="4">
        <v>41</v>
      </c>
      <c r="AC352" s="4">
        <v>42</v>
      </c>
      <c r="AD352" s="4">
        <v>43</v>
      </c>
      <c r="AE352" s="4">
        <v>42</v>
      </c>
      <c r="AF352" s="4">
        <v>42</v>
      </c>
      <c r="AG352" s="4">
        <v>38</v>
      </c>
      <c r="AH352" s="4">
        <v>40</v>
      </c>
      <c r="AI352" s="4">
        <v>40</v>
      </c>
      <c r="AJ352" s="4">
        <v>39</v>
      </c>
      <c r="AK352" s="4">
        <v>39</v>
      </c>
      <c r="AL352" s="4">
        <v>40</v>
      </c>
      <c r="AM352" s="4">
        <v>40</v>
      </c>
      <c r="AN352" s="4">
        <v>39</v>
      </c>
      <c r="AO352" s="4">
        <v>40</v>
      </c>
      <c r="AP352" s="4">
        <v>44</v>
      </c>
      <c r="AQ352" s="4">
        <v>44</v>
      </c>
      <c r="AR352" s="4">
        <v>46</v>
      </c>
      <c r="AS352" s="4">
        <v>46</v>
      </c>
      <c r="AT352" s="3">
        <v>44</v>
      </c>
      <c r="AU352" s="3">
        <v>44</v>
      </c>
      <c r="AV352" s="3">
        <v>44</v>
      </c>
      <c r="AW352" s="3">
        <v>48</v>
      </c>
      <c r="AX352" s="3">
        <v>49</v>
      </c>
      <c r="AY352" s="3">
        <v>49</v>
      </c>
    </row>
    <row r="353" spans="1:51">
      <c r="A353" s="11"/>
      <c r="B353" s="3" t="s">
        <v>16</v>
      </c>
      <c r="C353" s="3" t="s">
        <v>18</v>
      </c>
      <c r="D353" s="4">
        <f t="shared" ref="D353:Q353" si="1183">SUBTOTAL(9,D354:D357)</f>
        <v>303</v>
      </c>
      <c r="E353" s="4">
        <f t="shared" ref="E353" si="1184">SUBTOTAL(9,E354:E357)</f>
        <v>310</v>
      </c>
      <c r="F353" s="4">
        <f t="shared" ref="F353" si="1185">SUBTOTAL(9,F354:F357)</f>
        <v>310</v>
      </c>
      <c r="G353" s="4">
        <f t="shared" ref="G353" si="1186">SUBTOTAL(9,G354:G357)</f>
        <v>312</v>
      </c>
      <c r="H353" s="4">
        <f t="shared" ref="H353" si="1187">SUBTOTAL(9,H354:H357)</f>
        <v>318</v>
      </c>
      <c r="I353" s="4">
        <f t="shared" ref="I353" si="1188">SUBTOTAL(9,I354:I357)</f>
        <v>319</v>
      </c>
      <c r="J353" s="4">
        <f t="shared" ref="J353" si="1189">SUBTOTAL(9,J354:J357)</f>
        <v>324</v>
      </c>
      <c r="K353" s="4">
        <f t="shared" ref="K353" si="1190">SUBTOTAL(9,K354:K357)</f>
        <v>326</v>
      </c>
      <c r="L353" s="4">
        <f t="shared" ref="L353" si="1191">SUBTOTAL(9,L354:L357)</f>
        <v>328</v>
      </c>
      <c r="M353" s="4">
        <f t="shared" ref="M353" si="1192">SUBTOTAL(9,M354:M357)</f>
        <v>331</v>
      </c>
      <c r="N353" s="4">
        <f t="shared" ref="N353" si="1193">SUBTOTAL(9,N354:N357)</f>
        <v>334</v>
      </c>
      <c r="O353" s="4">
        <f t="shared" ref="O353" si="1194">SUBTOTAL(9,O354:O357)</f>
        <v>342</v>
      </c>
      <c r="P353" s="4">
        <f t="shared" ref="P353" si="1195">SUBTOTAL(9,P354:P357)</f>
        <v>357</v>
      </c>
      <c r="Q353" s="4">
        <f t="shared" si="1183"/>
        <v>364</v>
      </c>
      <c r="R353" s="4">
        <f t="shared" ref="R353:S353" si="1196">SUBTOTAL(9,R354:R357)</f>
        <v>372</v>
      </c>
      <c r="S353" s="4">
        <f t="shared" si="1196"/>
        <v>378</v>
      </c>
      <c r="T353" s="4">
        <f t="shared" ref="T353:U353" si="1197">SUBTOTAL(9,T354:T357)</f>
        <v>384</v>
      </c>
      <c r="U353" s="4">
        <f t="shared" si="1197"/>
        <v>390</v>
      </c>
      <c r="V353" s="4">
        <f t="shared" ref="V353:W353" si="1198">SUBTOTAL(9,V354:V357)</f>
        <v>406</v>
      </c>
      <c r="W353" s="4">
        <f t="shared" si="1198"/>
        <v>415</v>
      </c>
      <c r="X353" s="4">
        <f t="shared" ref="X353:Y353" si="1199">SUBTOTAL(9,X354:X357)</f>
        <v>425</v>
      </c>
      <c r="Y353" s="4">
        <f t="shared" si="1199"/>
        <v>431</v>
      </c>
      <c r="Z353" s="4">
        <f t="shared" ref="Z353:AA353" si="1200">SUBTOTAL(9,Z354:Z357)</f>
        <v>444</v>
      </c>
      <c r="AA353" s="4">
        <f t="shared" si="1200"/>
        <v>457</v>
      </c>
      <c r="AB353" s="4">
        <f t="shared" ref="AB353:AC353" si="1201">SUBTOTAL(9,AB354:AB357)</f>
        <v>479</v>
      </c>
      <c r="AC353" s="4">
        <f t="shared" si="1201"/>
        <v>497</v>
      </c>
      <c r="AD353" s="4">
        <f t="shared" ref="AD353:AO353" si="1202">SUBTOTAL(9,AD354:AD357)</f>
        <v>512</v>
      </c>
      <c r="AE353" s="4">
        <f t="shared" si="1202"/>
        <v>526</v>
      </c>
      <c r="AF353" s="4">
        <f t="shared" si="1202"/>
        <v>544</v>
      </c>
      <c r="AG353" s="4">
        <f t="shared" si="1202"/>
        <v>556</v>
      </c>
      <c r="AH353" s="4">
        <f t="shared" si="1202"/>
        <v>571</v>
      </c>
      <c r="AI353" s="4">
        <f t="shared" si="1202"/>
        <v>584</v>
      </c>
      <c r="AJ353" s="4">
        <f t="shared" si="1202"/>
        <v>591</v>
      </c>
      <c r="AK353" s="4">
        <f t="shared" si="1202"/>
        <v>597</v>
      </c>
      <c r="AL353" s="4">
        <f t="shared" si="1202"/>
        <v>598</v>
      </c>
      <c r="AM353" s="4">
        <f t="shared" si="1202"/>
        <v>602</v>
      </c>
      <c r="AN353" s="4">
        <f t="shared" si="1202"/>
        <v>610</v>
      </c>
      <c r="AO353" s="4">
        <f t="shared" si="1202"/>
        <v>605</v>
      </c>
      <c r="AP353" s="4">
        <v>607</v>
      </c>
      <c r="AQ353" s="4">
        <v>607</v>
      </c>
      <c r="AR353" s="4">
        <v>604</v>
      </c>
      <c r="AS353" s="4">
        <v>608</v>
      </c>
      <c r="AT353" s="3">
        <f t="shared" ref="AT353:AY353" si="1203">SUM(AT354:AT357)</f>
        <v>608</v>
      </c>
      <c r="AU353" s="3">
        <f t="shared" si="1203"/>
        <v>613</v>
      </c>
      <c r="AV353" s="3">
        <f t="shared" si="1203"/>
        <v>621</v>
      </c>
      <c r="AW353" s="3">
        <f t="shared" si="1203"/>
        <v>625</v>
      </c>
      <c r="AX353" s="3">
        <f t="shared" si="1203"/>
        <v>626</v>
      </c>
      <c r="AY353" s="3">
        <f t="shared" si="1203"/>
        <v>626</v>
      </c>
    </row>
    <row r="354" spans="1:51">
      <c r="A354" s="11"/>
      <c r="C354" s="3" t="s">
        <v>3</v>
      </c>
      <c r="D354" s="4">
        <v>4</v>
      </c>
      <c r="E354" s="4">
        <v>4</v>
      </c>
      <c r="F354" s="4">
        <v>4</v>
      </c>
      <c r="G354" s="4">
        <v>4</v>
      </c>
      <c r="H354" s="4">
        <v>4</v>
      </c>
      <c r="I354" s="4">
        <v>4</v>
      </c>
      <c r="J354" s="4">
        <v>4</v>
      </c>
      <c r="K354" s="4">
        <v>4</v>
      </c>
      <c r="L354" s="4">
        <v>4</v>
      </c>
      <c r="M354" s="4">
        <v>4</v>
      </c>
      <c r="N354" s="4">
        <v>4</v>
      </c>
      <c r="O354" s="4">
        <v>5</v>
      </c>
      <c r="P354" s="4">
        <v>5</v>
      </c>
      <c r="Q354" s="4">
        <v>5</v>
      </c>
      <c r="R354" s="4">
        <v>6</v>
      </c>
      <c r="S354" s="4">
        <v>7</v>
      </c>
      <c r="T354" s="4">
        <v>7</v>
      </c>
      <c r="U354" s="4">
        <v>7</v>
      </c>
      <c r="V354" s="4">
        <v>8</v>
      </c>
      <c r="W354" s="4">
        <v>11</v>
      </c>
      <c r="X354" s="4">
        <v>9</v>
      </c>
      <c r="Y354" s="4">
        <v>13</v>
      </c>
      <c r="Z354" s="4">
        <v>10</v>
      </c>
      <c r="AA354" s="4">
        <v>11</v>
      </c>
      <c r="AB354" s="4">
        <v>12</v>
      </c>
      <c r="AC354" s="4">
        <v>12</v>
      </c>
      <c r="AD354" s="4">
        <v>13</v>
      </c>
      <c r="AE354" s="4">
        <v>14</v>
      </c>
      <c r="AF354" s="4">
        <v>15</v>
      </c>
      <c r="AG354" s="4">
        <v>20</v>
      </c>
      <c r="AH354" s="4">
        <v>21</v>
      </c>
      <c r="AI354" s="4">
        <v>23</v>
      </c>
      <c r="AJ354" s="4">
        <v>26</v>
      </c>
      <c r="AK354" s="4">
        <v>27</v>
      </c>
      <c r="AL354" s="4">
        <v>28</v>
      </c>
      <c r="AM354" s="4">
        <v>29</v>
      </c>
      <c r="AN354" s="4">
        <v>30</v>
      </c>
      <c r="AO354" s="4">
        <v>32</v>
      </c>
      <c r="AP354" s="4">
        <v>36</v>
      </c>
      <c r="AQ354" s="4">
        <v>38</v>
      </c>
      <c r="AR354" s="4">
        <v>40</v>
      </c>
      <c r="AS354" s="4">
        <v>44</v>
      </c>
      <c r="AT354" s="3">
        <v>43</v>
      </c>
      <c r="AU354" s="3">
        <v>44</v>
      </c>
      <c r="AV354" s="3">
        <v>44</v>
      </c>
      <c r="AW354" s="3">
        <v>46</v>
      </c>
      <c r="AX354" s="3">
        <v>47</v>
      </c>
      <c r="AY354" s="3">
        <v>53</v>
      </c>
    </row>
    <row r="355" spans="1:51">
      <c r="A355" s="11"/>
      <c r="C355" s="3" t="s">
        <v>4</v>
      </c>
      <c r="D355" s="4">
        <v>22</v>
      </c>
      <c r="E355" s="4">
        <v>23</v>
      </c>
      <c r="F355" s="4">
        <v>23</v>
      </c>
      <c r="G355" s="4">
        <v>24</v>
      </c>
      <c r="H355" s="4">
        <v>24</v>
      </c>
      <c r="I355" s="4">
        <v>25</v>
      </c>
      <c r="J355" s="4">
        <v>25</v>
      </c>
      <c r="K355" s="4">
        <v>25</v>
      </c>
      <c r="L355" s="4">
        <v>25</v>
      </c>
      <c r="M355" s="4">
        <v>25</v>
      </c>
      <c r="N355" s="4">
        <v>25</v>
      </c>
      <c r="O355" s="4">
        <v>28</v>
      </c>
      <c r="P355" s="4">
        <v>29</v>
      </c>
      <c r="Q355" s="4">
        <v>33</v>
      </c>
      <c r="R355" s="4">
        <v>36</v>
      </c>
      <c r="S355" s="4">
        <v>36</v>
      </c>
      <c r="T355" s="4">
        <v>36</v>
      </c>
      <c r="U355" s="4">
        <v>37</v>
      </c>
      <c r="V355" s="4">
        <v>37</v>
      </c>
      <c r="W355" s="4">
        <v>34</v>
      </c>
      <c r="X355" s="4">
        <v>36</v>
      </c>
      <c r="Y355" s="4">
        <v>35</v>
      </c>
      <c r="Z355" s="4">
        <v>37</v>
      </c>
      <c r="AA355" s="4">
        <v>39</v>
      </c>
      <c r="AB355" s="4">
        <v>42</v>
      </c>
      <c r="AC355" s="4">
        <v>41</v>
      </c>
      <c r="AD355" s="4">
        <v>44</v>
      </c>
      <c r="AE355" s="4">
        <v>47</v>
      </c>
      <c r="AF355" s="4">
        <v>48</v>
      </c>
      <c r="AG355" s="4">
        <v>51</v>
      </c>
      <c r="AH355" s="4">
        <v>58</v>
      </c>
      <c r="AI355" s="4">
        <v>60</v>
      </c>
      <c r="AJ355" s="4">
        <v>61</v>
      </c>
      <c r="AK355" s="4">
        <v>64</v>
      </c>
      <c r="AL355" s="4">
        <v>65</v>
      </c>
      <c r="AM355" s="4">
        <v>65</v>
      </c>
      <c r="AN355" s="4">
        <v>70</v>
      </c>
      <c r="AO355" s="4">
        <v>68</v>
      </c>
      <c r="AP355" s="4">
        <v>64</v>
      </c>
      <c r="AQ355" s="4">
        <v>66</v>
      </c>
      <c r="AR355" s="4">
        <v>71</v>
      </c>
      <c r="AS355" s="4">
        <v>74</v>
      </c>
      <c r="AT355" s="3">
        <v>80</v>
      </c>
      <c r="AU355" s="3">
        <v>84</v>
      </c>
      <c r="AV355" s="3">
        <v>88</v>
      </c>
      <c r="AW355" s="3">
        <v>87</v>
      </c>
      <c r="AX355" s="3">
        <v>85</v>
      </c>
      <c r="AY355" s="3">
        <v>81</v>
      </c>
    </row>
    <row r="356" spans="1:51">
      <c r="A356" s="11"/>
      <c r="C356" s="3" t="s">
        <v>5</v>
      </c>
      <c r="D356" s="4">
        <v>78</v>
      </c>
      <c r="E356" s="4">
        <v>79</v>
      </c>
      <c r="F356" s="4">
        <v>82</v>
      </c>
      <c r="G356" s="4">
        <v>82</v>
      </c>
      <c r="H356" s="4">
        <v>84</v>
      </c>
      <c r="I356" s="4">
        <v>84</v>
      </c>
      <c r="J356" s="4">
        <v>88</v>
      </c>
      <c r="K356" s="4">
        <v>89</v>
      </c>
      <c r="L356" s="4">
        <v>89</v>
      </c>
      <c r="M356" s="4">
        <v>95</v>
      </c>
      <c r="N356" s="4">
        <v>95</v>
      </c>
      <c r="O356" s="4">
        <v>102</v>
      </c>
      <c r="P356" s="4">
        <v>108</v>
      </c>
      <c r="Q356" s="4">
        <v>112</v>
      </c>
      <c r="R356" s="4">
        <v>111</v>
      </c>
      <c r="S356" s="4">
        <v>117</v>
      </c>
      <c r="T356" s="4">
        <v>128</v>
      </c>
      <c r="U356" s="4">
        <v>130</v>
      </c>
      <c r="V356" s="4">
        <v>137</v>
      </c>
      <c r="W356" s="4">
        <v>145</v>
      </c>
      <c r="X356" s="4">
        <v>152</v>
      </c>
      <c r="Y356" s="4">
        <v>156</v>
      </c>
      <c r="Z356" s="4">
        <v>163</v>
      </c>
      <c r="AA356" s="4">
        <v>172</v>
      </c>
      <c r="AB356" s="4">
        <v>187</v>
      </c>
      <c r="AC356" s="4">
        <v>201</v>
      </c>
      <c r="AD356" s="4">
        <v>219</v>
      </c>
      <c r="AE356" s="4">
        <v>226</v>
      </c>
      <c r="AF356" s="4">
        <v>234</v>
      </c>
      <c r="AG356" s="4">
        <v>236</v>
      </c>
      <c r="AH356" s="4">
        <v>245</v>
      </c>
      <c r="AI356" s="4">
        <v>257</v>
      </c>
      <c r="AJ356" s="4">
        <v>265</v>
      </c>
      <c r="AK356" s="4">
        <v>263</v>
      </c>
      <c r="AL356" s="4">
        <v>266</v>
      </c>
      <c r="AM356" s="4">
        <v>271</v>
      </c>
      <c r="AN356" s="4">
        <v>269</v>
      </c>
      <c r="AO356" s="4">
        <v>261</v>
      </c>
      <c r="AP356" s="4">
        <v>271</v>
      </c>
      <c r="AQ356" s="4">
        <v>270</v>
      </c>
      <c r="AR356" s="4">
        <v>268</v>
      </c>
      <c r="AS356" s="4">
        <v>266</v>
      </c>
      <c r="AT356" s="3">
        <v>268</v>
      </c>
      <c r="AU356" s="3">
        <v>268</v>
      </c>
      <c r="AV356" s="3">
        <v>269</v>
      </c>
      <c r="AW356" s="3">
        <v>275</v>
      </c>
      <c r="AX356" s="3">
        <v>278</v>
      </c>
      <c r="AY356" s="3">
        <v>277</v>
      </c>
    </row>
    <row r="357" spans="1:51">
      <c r="A357" s="11"/>
      <c r="C357" s="3" t="s">
        <v>2</v>
      </c>
      <c r="D357" s="4">
        <v>199</v>
      </c>
      <c r="E357" s="4">
        <v>204</v>
      </c>
      <c r="F357" s="4">
        <v>201</v>
      </c>
      <c r="G357" s="4">
        <v>202</v>
      </c>
      <c r="H357" s="4">
        <v>206</v>
      </c>
      <c r="I357" s="4">
        <v>206</v>
      </c>
      <c r="J357" s="4">
        <v>207</v>
      </c>
      <c r="K357" s="4">
        <v>208</v>
      </c>
      <c r="L357" s="4">
        <v>210</v>
      </c>
      <c r="M357" s="4">
        <v>207</v>
      </c>
      <c r="N357" s="4">
        <v>210</v>
      </c>
      <c r="O357" s="4">
        <v>207</v>
      </c>
      <c r="P357" s="4">
        <v>215</v>
      </c>
      <c r="Q357" s="4">
        <v>214</v>
      </c>
      <c r="R357" s="4">
        <v>219</v>
      </c>
      <c r="S357" s="4">
        <v>218</v>
      </c>
      <c r="T357" s="4">
        <v>213</v>
      </c>
      <c r="U357" s="4">
        <v>216</v>
      </c>
      <c r="V357" s="4">
        <v>224</v>
      </c>
      <c r="W357" s="4">
        <v>225</v>
      </c>
      <c r="X357" s="4">
        <v>228</v>
      </c>
      <c r="Y357" s="4">
        <v>227</v>
      </c>
      <c r="Z357" s="4">
        <v>234</v>
      </c>
      <c r="AA357" s="4">
        <v>235</v>
      </c>
      <c r="AB357" s="4">
        <v>238</v>
      </c>
      <c r="AC357" s="4">
        <v>243</v>
      </c>
      <c r="AD357" s="4">
        <v>236</v>
      </c>
      <c r="AE357" s="4">
        <v>239</v>
      </c>
      <c r="AF357" s="4">
        <v>247</v>
      </c>
      <c r="AG357" s="4">
        <v>249</v>
      </c>
      <c r="AH357" s="4">
        <v>247</v>
      </c>
      <c r="AI357" s="4">
        <v>244</v>
      </c>
      <c r="AJ357" s="4">
        <v>239</v>
      </c>
      <c r="AK357" s="4">
        <v>243</v>
      </c>
      <c r="AL357" s="4">
        <v>239</v>
      </c>
      <c r="AM357" s="4">
        <v>237</v>
      </c>
      <c r="AN357" s="4">
        <v>241</v>
      </c>
      <c r="AO357" s="4">
        <v>244</v>
      </c>
      <c r="AP357" s="4">
        <v>236</v>
      </c>
      <c r="AQ357" s="4">
        <v>233</v>
      </c>
      <c r="AR357" s="4">
        <v>225</v>
      </c>
      <c r="AS357" s="4">
        <v>224</v>
      </c>
      <c r="AT357" s="3">
        <v>217</v>
      </c>
      <c r="AU357" s="3">
        <v>217</v>
      </c>
      <c r="AV357" s="3">
        <v>220</v>
      </c>
      <c r="AW357" s="3">
        <v>217</v>
      </c>
      <c r="AX357" s="3">
        <v>216</v>
      </c>
      <c r="AY357" s="3">
        <v>215</v>
      </c>
    </row>
    <row r="358" spans="1:51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</row>
    <row r="359" spans="1:51"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</sheetData>
  <phoneticPr fontId="2"/>
  <pageMargins left="0.7" right="0.7" top="0.75" bottom="0.75" header="0.3" footer="0.3"/>
  <pageSetup paperSize="9" orientation="portrait" horizontalDpi="4294967292" verticalDpi="4294967292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zoomScale="70" zoomScaleNormal="70" workbookViewId="0">
      <selection activeCell="C2" sqref="C2"/>
    </sheetView>
  </sheetViews>
  <sheetFormatPr defaultColWidth="8.9140625" defaultRowHeight="14"/>
  <cols>
    <col min="1" max="1" width="141.5" customWidth="1"/>
  </cols>
  <sheetData>
    <row r="1" spans="1:1" ht="409.5" customHeight="1"/>
    <row r="2" spans="1:1" ht="109.5" customHeight="1"/>
    <row r="3" spans="1:1" ht="17.5">
      <c r="A3" s="27" t="s">
        <v>72</v>
      </c>
    </row>
  </sheetData>
  <phoneticPr fontId="2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zoomScale="70" zoomScaleNormal="70" workbookViewId="0">
      <selection activeCell="I1" sqref="I1"/>
    </sheetView>
  </sheetViews>
  <sheetFormatPr defaultColWidth="8.9140625" defaultRowHeight="14"/>
  <cols>
    <col min="1" max="1" width="140.9140625" customWidth="1"/>
  </cols>
  <sheetData>
    <row r="1" spans="1:1" ht="409.5" customHeight="1"/>
    <row r="2" spans="1:1" ht="109.5" customHeight="1"/>
    <row r="3" spans="1:1" ht="17.5">
      <c r="A3" s="27" t="s">
        <v>72</v>
      </c>
    </row>
  </sheetData>
  <phoneticPr fontId="2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"/>
  <sheetViews>
    <sheetView zoomScale="70" zoomScaleNormal="70" workbookViewId="0">
      <selection activeCell="G1" sqref="G1"/>
    </sheetView>
  </sheetViews>
  <sheetFormatPr defaultColWidth="8.9140625" defaultRowHeight="14"/>
  <cols>
    <col min="1" max="1" width="141" customWidth="1"/>
  </cols>
  <sheetData>
    <row r="1" spans="1:1" ht="409.5" customHeight="1"/>
    <row r="2" spans="1:1" ht="109.5" customHeight="1"/>
    <row r="3" spans="1:1" ht="17.5">
      <c r="A3" s="27" t="s">
        <v>72</v>
      </c>
    </row>
  </sheetData>
  <phoneticPr fontId="2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zoomScale="70" zoomScaleNormal="70" workbookViewId="0">
      <selection activeCell="E1" sqref="E1"/>
    </sheetView>
  </sheetViews>
  <sheetFormatPr defaultColWidth="8.9140625" defaultRowHeight="14"/>
  <cols>
    <col min="1" max="1" width="141.4140625" customWidth="1"/>
  </cols>
  <sheetData>
    <row r="1" spans="1:1" ht="409.5" customHeight="1"/>
    <row r="2" spans="1:1" ht="109.5" customHeight="1"/>
    <row r="3" spans="1:1" ht="17.5">
      <c r="A3" s="27" t="s">
        <v>72</v>
      </c>
    </row>
  </sheetData>
  <phoneticPr fontId="2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"/>
  <sheetViews>
    <sheetView zoomScale="70" zoomScaleNormal="70" workbookViewId="0">
      <selection activeCell="E2" sqref="E2"/>
    </sheetView>
  </sheetViews>
  <sheetFormatPr defaultColWidth="8.9140625" defaultRowHeight="14"/>
  <cols>
    <col min="1" max="1" width="139.4140625" customWidth="1"/>
  </cols>
  <sheetData>
    <row r="1" spans="1:1" ht="409.5" customHeight="1"/>
    <row r="2" spans="1:1" ht="109.5" customHeight="1"/>
    <row r="3" spans="1:1" ht="17.5">
      <c r="A3" s="27" t="s">
        <v>72</v>
      </c>
    </row>
  </sheetData>
  <phoneticPr fontId="2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"/>
  <sheetViews>
    <sheetView zoomScale="70" zoomScaleNormal="70" workbookViewId="0">
      <selection activeCell="F1" sqref="F1"/>
    </sheetView>
  </sheetViews>
  <sheetFormatPr defaultColWidth="8.9140625" defaultRowHeight="14"/>
  <cols>
    <col min="1" max="1" width="138.5" customWidth="1"/>
  </cols>
  <sheetData>
    <row r="1" spans="1:1" ht="409.5" customHeight="1"/>
    <row r="2" spans="1:1" ht="109.5" customHeight="1"/>
    <row r="3" spans="1:1" ht="17.5">
      <c r="A3" s="27" t="s">
        <v>72</v>
      </c>
    </row>
  </sheetData>
  <phoneticPr fontId="2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3"/>
  <sheetViews>
    <sheetView zoomScale="70" zoomScaleNormal="70" workbookViewId="0">
      <selection activeCell="E1" sqref="E1"/>
    </sheetView>
  </sheetViews>
  <sheetFormatPr defaultColWidth="8.9140625" defaultRowHeight="14"/>
  <cols>
    <col min="1" max="1" width="139.58203125" customWidth="1"/>
  </cols>
  <sheetData>
    <row r="1" spans="1:1" ht="409.5" customHeight="1"/>
    <row r="2" spans="1:1" ht="109.5" customHeight="1"/>
    <row r="3" spans="1:1" ht="17.5">
      <c r="A3" s="27" t="s">
        <v>72</v>
      </c>
    </row>
  </sheetData>
  <phoneticPr fontId="2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3"/>
  <sheetViews>
    <sheetView view="pageBreakPreview" zoomScale="70" zoomScaleNormal="100" zoomScaleSheetLayoutView="70" workbookViewId="0">
      <selection activeCell="E1" sqref="E1"/>
    </sheetView>
  </sheetViews>
  <sheetFormatPr defaultColWidth="8.9140625" defaultRowHeight="14"/>
  <cols>
    <col min="1" max="1" width="139.5" customWidth="1"/>
  </cols>
  <sheetData>
    <row r="1" spans="1:1" ht="409.5" customHeight="1"/>
    <row r="2" spans="1:1" ht="109.5" customHeight="1"/>
    <row r="3" spans="1:1" ht="17.5">
      <c r="A3" s="27" t="s">
        <v>72</v>
      </c>
    </row>
  </sheetData>
  <phoneticPr fontId="2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3"/>
  <sheetViews>
    <sheetView zoomScale="70" zoomScaleNormal="70" workbookViewId="0">
      <selection activeCell="C1" sqref="C1"/>
    </sheetView>
  </sheetViews>
  <sheetFormatPr defaultColWidth="8.9140625" defaultRowHeight="14"/>
  <cols>
    <col min="1" max="1" width="140.4140625" customWidth="1"/>
  </cols>
  <sheetData>
    <row r="1" spans="1:1" ht="409.5" customHeight="1"/>
    <row r="2" spans="1:1" ht="109.5" customHeight="1"/>
    <row r="3" spans="1:1" ht="17.5">
      <c r="A3" s="27" t="s">
        <v>72</v>
      </c>
    </row>
  </sheetData>
  <phoneticPr fontId="2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="70" zoomScaleNormal="70" workbookViewId="0">
      <selection activeCell="A7" sqref="A7"/>
    </sheetView>
  </sheetViews>
  <sheetFormatPr defaultColWidth="8.9140625" defaultRowHeight="14"/>
  <cols>
    <col min="1" max="1" width="142.58203125" customWidth="1"/>
  </cols>
  <sheetData>
    <row r="1" spans="1:1" ht="409.25" customHeight="1"/>
    <row r="2" spans="1:1" ht="109.5" customHeight="1"/>
    <row r="3" spans="1:1" ht="17.5">
      <c r="A3" s="27" t="s">
        <v>72</v>
      </c>
    </row>
  </sheetData>
  <phoneticPr fontId="2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zoomScale="70" zoomScaleNormal="70" workbookViewId="0">
      <selection activeCell="A7" sqref="A7"/>
    </sheetView>
  </sheetViews>
  <sheetFormatPr defaultColWidth="8.9140625" defaultRowHeight="14"/>
  <cols>
    <col min="1" max="1" width="142.58203125" customWidth="1"/>
  </cols>
  <sheetData>
    <row r="1" spans="1:1" ht="409.5" customHeight="1"/>
    <row r="2" spans="1:1" ht="109.5" customHeight="1"/>
    <row r="3" spans="1:1" ht="17.5">
      <c r="A3" s="27" t="s">
        <v>72</v>
      </c>
    </row>
  </sheetData>
  <phoneticPr fontId="2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="70" zoomScaleNormal="70" workbookViewId="0">
      <selection activeCell="D1" sqref="D1"/>
    </sheetView>
  </sheetViews>
  <sheetFormatPr defaultColWidth="8.9140625" defaultRowHeight="14"/>
  <cols>
    <col min="1" max="1" width="141.5" customWidth="1"/>
  </cols>
  <sheetData>
    <row r="1" spans="1:1" ht="409.5" customHeight="1"/>
    <row r="2" spans="1:1" ht="109.5" customHeight="1"/>
    <row r="3" spans="1:1" ht="17.5">
      <c r="A3" s="27" t="s">
        <v>72</v>
      </c>
    </row>
  </sheetData>
  <phoneticPr fontId="2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zoomScale="70" zoomScaleNormal="70" workbookViewId="0">
      <selection activeCell="D1" sqref="D1"/>
    </sheetView>
  </sheetViews>
  <sheetFormatPr defaultColWidth="8.9140625" defaultRowHeight="14"/>
  <cols>
    <col min="1" max="1" width="141.4140625" customWidth="1"/>
  </cols>
  <sheetData>
    <row r="1" spans="1:1" ht="409.5" customHeight="1"/>
    <row r="2" spans="1:1" ht="109.5" customHeight="1"/>
    <row r="3" spans="1:1" ht="17.5">
      <c r="A3" s="27" t="s">
        <v>72</v>
      </c>
    </row>
  </sheetData>
  <phoneticPr fontId="2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zoomScale="70" zoomScaleNormal="70" workbookViewId="0">
      <selection activeCell="A8" sqref="A8"/>
    </sheetView>
  </sheetViews>
  <sheetFormatPr defaultColWidth="8.9140625" defaultRowHeight="14"/>
  <cols>
    <col min="1" max="1" width="139.5" customWidth="1"/>
  </cols>
  <sheetData>
    <row r="1" spans="1:1" ht="409.5" customHeight="1"/>
    <row r="2" spans="1:1" ht="109.5" customHeight="1"/>
    <row r="3" spans="1:1" ht="17.5">
      <c r="A3" s="27" t="s">
        <v>72</v>
      </c>
    </row>
  </sheetData>
  <phoneticPr fontId="2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zoomScale="70" zoomScaleNormal="70" workbookViewId="0">
      <selection activeCell="A3" sqref="A3"/>
    </sheetView>
  </sheetViews>
  <sheetFormatPr defaultColWidth="8.9140625" defaultRowHeight="14"/>
  <cols>
    <col min="1" max="1" width="141" customWidth="1"/>
  </cols>
  <sheetData>
    <row r="1" spans="1:1" ht="409.5" customHeight="1"/>
    <row r="2" spans="1:1" ht="109.5" customHeight="1"/>
    <row r="3" spans="1:1" ht="17.5">
      <c r="A3" s="27" t="s">
        <v>72</v>
      </c>
    </row>
  </sheetData>
  <phoneticPr fontId="2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zoomScale="70" zoomScaleNormal="70" workbookViewId="0">
      <selection activeCell="B2" sqref="B2"/>
    </sheetView>
  </sheetViews>
  <sheetFormatPr defaultColWidth="8.9140625" defaultRowHeight="14"/>
  <cols>
    <col min="1" max="1" width="139" customWidth="1"/>
  </cols>
  <sheetData>
    <row r="1" spans="1:1" ht="409.5" customHeight="1"/>
    <row r="2" spans="1:1" ht="109.5" customHeight="1"/>
    <row r="3" spans="1:1" ht="17.5">
      <c r="A3" s="27" t="s">
        <v>72</v>
      </c>
    </row>
  </sheetData>
  <phoneticPr fontId="2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zoomScale="70" zoomScaleNormal="70" workbookViewId="0">
      <selection activeCell="D1" sqref="D1"/>
    </sheetView>
  </sheetViews>
  <sheetFormatPr defaultColWidth="8.9140625" defaultRowHeight="14"/>
  <cols>
    <col min="1" max="1" width="142.1640625" customWidth="1"/>
  </cols>
  <sheetData>
    <row r="1" spans="1:1" ht="409.5" customHeight="1"/>
    <row r="2" spans="1:1" ht="109.5" customHeight="1"/>
    <row r="3" spans="1:1" ht="17.5">
      <c r="A3" s="27" t="s">
        <v>72</v>
      </c>
    </row>
  </sheetData>
  <phoneticPr fontId="2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データシート</vt:lpstr>
      <vt:lpstr>国公私立平均</vt:lpstr>
      <vt:lpstr>国立平均</vt:lpstr>
      <vt:lpstr>国立A平均</vt:lpstr>
      <vt:lpstr>国立B平均</vt:lpstr>
      <vt:lpstr>国立C平均</vt:lpstr>
      <vt:lpstr>国立D平均</vt:lpstr>
      <vt:lpstr>公立平均</vt:lpstr>
      <vt:lpstr>公立A平均</vt:lpstr>
      <vt:lpstr>公立B平均 </vt:lpstr>
      <vt:lpstr>公立C平均</vt:lpstr>
      <vt:lpstr>公立D平均</vt:lpstr>
      <vt:lpstr>私立平均</vt:lpstr>
      <vt:lpstr>私立A平均 </vt:lpstr>
      <vt:lpstr>私立B平均</vt:lpstr>
      <vt:lpstr>私立C平均</vt:lpstr>
      <vt:lpstr>私立D平均</vt:lpstr>
      <vt:lpstr>大学総経費平均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小陳 左和子</dc:creator>
  <cp:lastModifiedBy>成澤　めぐみ</cp:lastModifiedBy>
  <cp:lastPrinted>2019-07-11T09:31:36Z</cp:lastPrinted>
  <dcterms:created xsi:type="dcterms:W3CDTF">2014-12-31T05:04:40Z</dcterms:created>
  <dcterms:modified xsi:type="dcterms:W3CDTF">2024-12-09T08:08:49Z</dcterms:modified>
</cp:coreProperties>
</file>